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ate1904="1" defaultThemeVersion="166925"/>
  <mc:AlternateContent xmlns:mc="http://schemas.openxmlformats.org/markup-compatibility/2006">
    <mc:Choice Requires="x15">
      <x15ac:absPath xmlns:x15ac="http://schemas.microsoft.com/office/spreadsheetml/2010/11/ac" url="\\172.20.0.46\税務課\国保税\06_賦課\01_一般事務\令和8年度\"/>
    </mc:Choice>
  </mc:AlternateContent>
  <xr:revisionPtr revIDLastSave="0" documentId="13_ncr:1_{BD8CA75E-6A7E-4915-BFB6-C68DFA73D0CE}" xr6:coauthVersionLast="47" xr6:coauthVersionMax="47" xr10:uidLastSave="{00000000-0000-0000-0000-000000000000}"/>
  <bookViews>
    <workbookView xWindow="-108" yWindow="-108" windowWidth="23256" windowHeight="12456" activeTab="1" xr2:uid="{548F64BF-E21C-4CE2-8F5E-3158C419048B}"/>
  </bookViews>
  <sheets>
    <sheet name="入力方法" sheetId="6" r:id="rId1"/>
    <sheet name="入力シート" sheetId="5" r:id="rId2"/>
  </sheets>
  <definedNames>
    <definedName name="_xlnm.Print_Area" localSheetId="1">入力シート!$A$1:$W$84</definedName>
    <definedName name="_xlnm.Print_Area" localSheetId="0">入力方法!$A$1:$W$84</definedName>
    <definedName name="Z_E3E860AD_D148_4C2D_9CCC_29AD6384C09A_.wvu.Cols" localSheetId="1" hidden="1">入力シート!$U:$BH</definedName>
    <definedName name="Z_E3E860AD_D148_4C2D_9CCC_29AD6384C09A_.wvu.Cols" localSheetId="0" hidden="1">入力方法!$U:$BH</definedName>
    <definedName name="Z_E3E860AD_D148_4C2D_9CCC_29AD6384C09A_.wvu.PrintArea" localSheetId="1" hidden="1">入力シート!$A$1:$R$39</definedName>
    <definedName name="Z_E3E860AD_D148_4C2D_9CCC_29AD6384C09A_.wvu.PrintArea" localSheetId="0" hidden="1">入力方法!$A$1:$R$39</definedName>
    <definedName name="Z_EB7C7550_A28C_420F_8B25_8911FF6736B1_.wvu.Cols" localSheetId="1" hidden="1">入力シート!$U:$BH</definedName>
    <definedName name="Z_EB7C7550_A28C_420F_8B25_8911FF6736B1_.wvu.Cols" localSheetId="0" hidden="1">入力方法!$U:$BH</definedName>
    <definedName name="Z_EB7C7550_A28C_420F_8B25_8911FF6736B1_.wvu.PrintArea" localSheetId="1" hidden="1">入力シート!$A$59:$L$82</definedName>
    <definedName name="Z_EB7C7550_A28C_420F_8B25_8911FF6736B1_.wvu.PrintArea" localSheetId="0" hidden="1">入力方法!$A$59:$L$82</definedName>
  </definedNames>
  <calcPr calcId="191029"/>
  <customWorkbookViews>
    <customWorkbookView name="基礎データ入力" guid="{E3E860AD-D148-4C2D-9CCC-29AD6384C09A}" maximized="1" xWindow="-8" yWindow="-8" windowWidth="1382" windowHeight="744" activeSheetId="2"/>
    <customWorkbookView name="試算結果" guid="{EB7C7550-A28C-420F-8B25-8911FF6736B1}" maximized="1" xWindow="-8" yWindow="-8" windowWidth="1382" windowHeight="744"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5" l="1"/>
  <c r="AB57" i="5"/>
  <c r="AB56" i="5"/>
  <c r="AB55" i="5"/>
  <c r="AB54" i="5"/>
  <c r="AB53" i="5"/>
  <c r="AB52" i="5"/>
  <c r="AB51" i="5"/>
  <c r="AB49" i="5"/>
  <c r="AB50" i="5"/>
  <c r="C49" i="6"/>
  <c r="C67" i="5"/>
  <c r="U68" i="6"/>
  <c r="U69" i="6"/>
  <c r="U70" i="6"/>
  <c r="U71" i="6"/>
  <c r="U72" i="6"/>
  <c r="U73" i="6"/>
  <c r="U74" i="6"/>
  <c r="U67" i="6"/>
  <c r="K82" i="6"/>
  <c r="S75" i="6"/>
  <c r="S74" i="6"/>
  <c r="S73" i="6"/>
  <c r="S72" i="6"/>
  <c r="S71" i="6"/>
  <c r="S70" i="6"/>
  <c r="S75" i="5"/>
  <c r="S74" i="5"/>
  <c r="S73" i="5"/>
  <c r="S72" i="5"/>
  <c r="S71" i="5"/>
  <c r="R25" i="5"/>
  <c r="H25" i="5"/>
  <c r="I25" i="5"/>
  <c r="J25" i="5"/>
  <c r="K25" i="5"/>
  <c r="L25" i="5"/>
  <c r="M25" i="5"/>
  <c r="N25" i="5"/>
  <c r="O25" i="5"/>
  <c r="P25" i="5"/>
  <c r="Q25" i="5"/>
  <c r="G25" i="5"/>
  <c r="H25" i="6"/>
  <c r="M25" i="6"/>
  <c r="P25" i="6"/>
  <c r="P75" i="6"/>
  <c r="M75" i="6"/>
  <c r="J75" i="6"/>
  <c r="C75" i="6"/>
  <c r="C74" i="6"/>
  <c r="P73" i="6"/>
  <c r="C73" i="6"/>
  <c r="P72" i="6"/>
  <c r="M72" i="6"/>
  <c r="C72" i="6"/>
  <c r="J71" i="6"/>
  <c r="C71" i="6"/>
  <c r="C70" i="6"/>
  <c r="C69" i="6"/>
  <c r="C68" i="6"/>
  <c r="C67" i="6"/>
  <c r="AR57" i="6"/>
  <c r="AQ57" i="6"/>
  <c r="AP57" i="6"/>
  <c r="AN57" i="6"/>
  <c r="AM57" i="6"/>
  <c r="AL57" i="6"/>
  <c r="AK57" i="6"/>
  <c r="AJ57" i="6"/>
  <c r="AI57" i="6"/>
  <c r="AH57" i="6"/>
  <c r="AG57" i="6"/>
  <c r="AF57" i="6"/>
  <c r="AE57" i="6"/>
  <c r="AD57" i="6"/>
  <c r="AC57" i="6"/>
  <c r="AB57" i="6"/>
  <c r="AA57" i="6"/>
  <c r="Z57" i="6"/>
  <c r="Y57" i="6"/>
  <c r="X57" i="6"/>
  <c r="C57" i="6"/>
  <c r="AR56" i="6"/>
  <c r="AQ56" i="6"/>
  <c r="AP56" i="6"/>
  <c r="AN56" i="6"/>
  <c r="AM56" i="6"/>
  <c r="AL56" i="6"/>
  <c r="AK56" i="6"/>
  <c r="AJ56" i="6"/>
  <c r="AI56" i="6"/>
  <c r="AF56" i="6"/>
  <c r="AG56" i="6" s="1"/>
  <c r="AH56" i="6" s="1"/>
  <c r="AE56" i="6"/>
  <c r="AD56" i="6"/>
  <c r="AC56" i="6"/>
  <c r="AB56" i="6"/>
  <c r="AA56" i="6"/>
  <c r="Z56" i="6"/>
  <c r="Y56" i="6"/>
  <c r="X56" i="6"/>
  <c r="C56" i="6"/>
  <c r="AR55" i="6"/>
  <c r="AQ55" i="6"/>
  <c r="AP55" i="6"/>
  <c r="AN55" i="6"/>
  <c r="AM55" i="6"/>
  <c r="AL55" i="6"/>
  <c r="AK55" i="6"/>
  <c r="AJ55" i="6"/>
  <c r="AI55" i="6"/>
  <c r="AG55" i="6"/>
  <c r="AH55" i="6" s="1"/>
  <c r="AF55" i="6"/>
  <c r="AE55" i="6"/>
  <c r="AD55" i="6"/>
  <c r="AC55" i="6"/>
  <c r="AB55" i="6"/>
  <c r="AA55" i="6"/>
  <c r="Z55" i="6"/>
  <c r="Y55" i="6"/>
  <c r="X55" i="6"/>
  <c r="C55" i="6"/>
  <c r="AR54" i="6"/>
  <c r="AQ54" i="6"/>
  <c r="AP54" i="6"/>
  <c r="AN54" i="6"/>
  <c r="AM54" i="6"/>
  <c r="AL54" i="6"/>
  <c r="AK54" i="6"/>
  <c r="AJ54" i="6"/>
  <c r="AI54" i="6"/>
  <c r="AG54" i="6"/>
  <c r="AH54" i="6" s="1"/>
  <c r="AF54" i="6"/>
  <c r="AE54" i="6"/>
  <c r="AD54" i="6"/>
  <c r="AB54" i="6"/>
  <c r="AC54" i="6" s="1"/>
  <c r="AA54" i="6"/>
  <c r="Z54" i="6"/>
  <c r="Y54" i="6"/>
  <c r="X54" i="6"/>
  <c r="C54" i="6"/>
  <c r="AR53" i="6"/>
  <c r="AQ53" i="6"/>
  <c r="AP53" i="6"/>
  <c r="AN53" i="6"/>
  <c r="AM53" i="6"/>
  <c r="AL53" i="6"/>
  <c r="AK53" i="6"/>
  <c r="AJ53" i="6"/>
  <c r="AI53" i="6"/>
  <c r="AH53" i="6"/>
  <c r="AG53" i="6"/>
  <c r="AF53" i="6"/>
  <c r="AE53" i="6"/>
  <c r="AD53" i="6"/>
  <c r="AC53" i="6"/>
  <c r="AB53" i="6"/>
  <c r="AA53" i="6"/>
  <c r="Z53" i="6"/>
  <c r="Y53" i="6"/>
  <c r="X53" i="6"/>
  <c r="C53" i="6"/>
  <c r="AR52" i="6"/>
  <c r="AQ52" i="6"/>
  <c r="AP52" i="6"/>
  <c r="AN52" i="6"/>
  <c r="AM52" i="6"/>
  <c r="K25" i="6" s="1"/>
  <c r="AF52" i="6"/>
  <c r="AG52" i="6" s="1"/>
  <c r="AH52" i="6" s="1"/>
  <c r="AC52" i="6"/>
  <c r="AB52" i="6"/>
  <c r="AA52" i="6"/>
  <c r="Y52" i="6"/>
  <c r="X52" i="6"/>
  <c r="AD52" i="6" s="1"/>
  <c r="C52" i="6"/>
  <c r="AR51" i="6"/>
  <c r="AQ51" i="6"/>
  <c r="AP51" i="6"/>
  <c r="AN51" i="6"/>
  <c r="AM51" i="6"/>
  <c r="K22" i="6" s="1"/>
  <c r="AG51" i="6"/>
  <c r="AH51" i="6" s="1"/>
  <c r="AF51" i="6"/>
  <c r="AB51" i="6"/>
  <c r="AC51" i="6" s="1"/>
  <c r="AA51" i="6"/>
  <c r="Y51" i="6"/>
  <c r="X51" i="6"/>
  <c r="AD51" i="6" s="1"/>
  <c r="C51" i="6"/>
  <c r="AR50" i="6"/>
  <c r="AQ50" i="6"/>
  <c r="AC6" i="6" s="1"/>
  <c r="AP50" i="6"/>
  <c r="AN50" i="6"/>
  <c r="AM50" i="6"/>
  <c r="N19" i="6" s="1"/>
  <c r="AG50" i="6"/>
  <c r="AH50" i="6" s="1"/>
  <c r="AF50" i="6"/>
  <c r="AB50" i="6"/>
  <c r="AC50" i="6" s="1"/>
  <c r="AA50" i="6"/>
  <c r="Y50" i="6"/>
  <c r="X50" i="6"/>
  <c r="AD50" i="6" s="1"/>
  <c r="C50" i="6"/>
  <c r="AR49" i="6"/>
  <c r="AQ49" i="6"/>
  <c r="AP49" i="6"/>
  <c r="AN49" i="6"/>
  <c r="AM49" i="6"/>
  <c r="AF49" i="6"/>
  <c r="AG49" i="6" s="1"/>
  <c r="AH49" i="6" s="1"/>
  <c r="AB49" i="6"/>
  <c r="AC49" i="6" s="1"/>
  <c r="AA49" i="6"/>
  <c r="S41" i="6"/>
  <c r="E75" i="6" s="1"/>
  <c r="R41" i="6"/>
  <c r="Q41" i="6"/>
  <c r="P41" i="6"/>
  <c r="O41" i="6"/>
  <c r="N41" i="6"/>
  <c r="M41" i="6"/>
  <c r="L41" i="6"/>
  <c r="K41" i="6"/>
  <c r="J41" i="6"/>
  <c r="I41" i="6"/>
  <c r="H41" i="6"/>
  <c r="G41" i="6"/>
  <c r="T41" i="6" s="1"/>
  <c r="F41" i="6"/>
  <c r="R40" i="6"/>
  <c r="Q40" i="6"/>
  <c r="P40" i="6"/>
  <c r="O40" i="6"/>
  <c r="N40" i="6"/>
  <c r="M40" i="6"/>
  <c r="L40" i="6"/>
  <c r="K40" i="6"/>
  <c r="J40" i="6"/>
  <c r="I40" i="6"/>
  <c r="H40" i="6"/>
  <c r="S40" i="6" s="1"/>
  <c r="G40" i="6"/>
  <c r="AO57" i="6" s="1"/>
  <c r="V39" i="6"/>
  <c r="V38" i="6"/>
  <c r="M74" i="6" s="1"/>
  <c r="R38" i="6"/>
  <c r="Q38" i="6"/>
  <c r="P38" i="6"/>
  <c r="O38" i="6"/>
  <c r="N38" i="6"/>
  <c r="M38" i="6"/>
  <c r="L38" i="6"/>
  <c r="K38" i="6"/>
  <c r="S38" i="6" s="1"/>
  <c r="J38" i="6"/>
  <c r="I38" i="6"/>
  <c r="H38" i="6"/>
  <c r="G38" i="6"/>
  <c r="F38" i="6"/>
  <c r="R37" i="6"/>
  <c r="Q37" i="6"/>
  <c r="P37" i="6"/>
  <c r="O37" i="6"/>
  <c r="N37" i="6"/>
  <c r="M37" i="6"/>
  <c r="L37" i="6"/>
  <c r="K37" i="6"/>
  <c r="J37" i="6"/>
  <c r="AO56" i="6" s="1"/>
  <c r="I37" i="6"/>
  <c r="H37" i="6"/>
  <c r="G37" i="6"/>
  <c r="V36" i="6"/>
  <c r="V35" i="6"/>
  <c r="J73" i="6" s="1"/>
  <c r="R35" i="6"/>
  <c r="Q35" i="6"/>
  <c r="P35" i="6"/>
  <c r="O35" i="6"/>
  <c r="N35" i="6"/>
  <c r="M35" i="6"/>
  <c r="L35" i="6"/>
  <c r="K35" i="6"/>
  <c r="J35" i="6"/>
  <c r="I35" i="6"/>
  <c r="H35" i="6"/>
  <c r="S35" i="6" s="1"/>
  <c r="G35" i="6"/>
  <c r="F35" i="6"/>
  <c r="R34" i="6"/>
  <c r="Q34" i="6"/>
  <c r="P34" i="6"/>
  <c r="O34" i="6"/>
  <c r="N34" i="6"/>
  <c r="M34" i="6"/>
  <c r="L34" i="6"/>
  <c r="K34" i="6"/>
  <c r="J34" i="6"/>
  <c r="I34" i="6"/>
  <c r="H34" i="6"/>
  <c r="G34" i="6"/>
  <c r="V34" i="6" s="1"/>
  <c r="V33" i="6"/>
  <c r="V32" i="6"/>
  <c r="E72" i="6" s="1"/>
  <c r="R32" i="6"/>
  <c r="Q32" i="6"/>
  <c r="P32" i="6"/>
  <c r="O32" i="6"/>
  <c r="N32" i="6"/>
  <c r="M32" i="6"/>
  <c r="L32" i="6"/>
  <c r="K32" i="6"/>
  <c r="J32" i="6"/>
  <c r="I32" i="6"/>
  <c r="H32" i="6"/>
  <c r="G32" i="6"/>
  <c r="S32" i="6" s="1"/>
  <c r="F32" i="6"/>
  <c r="R31" i="6"/>
  <c r="Q31" i="6"/>
  <c r="P31" i="6"/>
  <c r="O31" i="6"/>
  <c r="N31" i="6"/>
  <c r="M31" i="6"/>
  <c r="L31" i="6"/>
  <c r="K31" i="6"/>
  <c r="V31" i="6" s="1"/>
  <c r="J31" i="6"/>
  <c r="I31" i="6"/>
  <c r="H31" i="6"/>
  <c r="G31" i="6"/>
  <c r="AO54" i="6" s="1"/>
  <c r="V30" i="6"/>
  <c r="V29" i="6"/>
  <c r="M71" i="6" s="1"/>
  <c r="S29" i="6"/>
  <c r="R29" i="6"/>
  <c r="Q29" i="6"/>
  <c r="P29" i="6"/>
  <c r="O29" i="6"/>
  <c r="N29" i="6"/>
  <c r="M29" i="6"/>
  <c r="L29" i="6"/>
  <c r="K29" i="6"/>
  <c r="J29" i="6"/>
  <c r="I29" i="6"/>
  <c r="H29" i="6"/>
  <c r="G29" i="6"/>
  <c r="F29" i="6"/>
  <c r="R28" i="6"/>
  <c r="Q28" i="6"/>
  <c r="P28" i="6"/>
  <c r="O28" i="6"/>
  <c r="N28" i="6"/>
  <c r="M28" i="6"/>
  <c r="L28" i="6"/>
  <c r="K28" i="6"/>
  <c r="J28" i="6"/>
  <c r="I28" i="6"/>
  <c r="H28" i="6"/>
  <c r="V28" i="6" s="1"/>
  <c r="G28" i="6"/>
  <c r="AO53" i="6" s="1"/>
  <c r="V27" i="6"/>
  <c r="V26" i="6"/>
  <c r="R26" i="6"/>
  <c r="Q26" i="6"/>
  <c r="P26" i="6"/>
  <c r="O26" i="6"/>
  <c r="N26" i="6"/>
  <c r="M26" i="6"/>
  <c r="L26" i="6"/>
  <c r="K26" i="6"/>
  <c r="J26" i="6"/>
  <c r="I26" i="6"/>
  <c r="H26" i="6"/>
  <c r="G26" i="6"/>
  <c r="S26" i="6" s="1"/>
  <c r="F26" i="6"/>
  <c r="V24" i="6"/>
  <c r="V23" i="6"/>
  <c r="R23" i="6"/>
  <c r="Q23" i="6"/>
  <c r="P23" i="6"/>
  <c r="O23" i="6"/>
  <c r="N23" i="6"/>
  <c r="M23" i="6"/>
  <c r="L23" i="6"/>
  <c r="K23" i="6"/>
  <c r="J23" i="6"/>
  <c r="I23" i="6"/>
  <c r="H23" i="6"/>
  <c r="G23" i="6"/>
  <c r="F23" i="6"/>
  <c r="N22" i="6"/>
  <c r="V21" i="6"/>
  <c r="V20" i="6"/>
  <c r="R20" i="6"/>
  <c r="Q20" i="6"/>
  <c r="P20" i="6"/>
  <c r="O20" i="6"/>
  <c r="N20" i="6"/>
  <c r="M20" i="6"/>
  <c r="L20" i="6"/>
  <c r="K20" i="6"/>
  <c r="J20" i="6"/>
  <c r="I20" i="6"/>
  <c r="H20" i="6"/>
  <c r="G20" i="6"/>
  <c r="F20" i="6"/>
  <c r="F42" i="6" s="1"/>
  <c r="R19" i="6"/>
  <c r="Q19" i="6"/>
  <c r="L19" i="6"/>
  <c r="J19" i="6"/>
  <c r="I19" i="6"/>
  <c r="V18" i="6"/>
  <c r="V17" i="6"/>
  <c r="R17" i="6"/>
  <c r="Q17" i="6"/>
  <c r="P17" i="6"/>
  <c r="O17" i="6"/>
  <c r="N17" i="6"/>
  <c r="M17" i="6"/>
  <c r="L17" i="6"/>
  <c r="K17" i="6"/>
  <c r="J17" i="6"/>
  <c r="I17" i="6"/>
  <c r="H17" i="6"/>
  <c r="G17" i="6"/>
  <c r="S17" i="6" s="1"/>
  <c r="V15" i="6"/>
  <c r="F14" i="6"/>
  <c r="P13" i="6" s="1"/>
  <c r="R13" i="6"/>
  <c r="J13" i="6"/>
  <c r="AA7" i="6"/>
  <c r="AC8" i="6" s="1"/>
  <c r="AC10" i="6" s="1"/>
  <c r="AA6" i="6"/>
  <c r="Y49" i="6" s="1"/>
  <c r="AA5" i="6"/>
  <c r="X49" i="6" s="1"/>
  <c r="O22" i="6" l="1"/>
  <c r="I22" i="6"/>
  <c r="P16" i="6"/>
  <c r="G19" i="6"/>
  <c r="AO50" i="6" s="1"/>
  <c r="P68" i="6" s="1"/>
  <c r="O19" i="6"/>
  <c r="L22" i="6"/>
  <c r="R25" i="6"/>
  <c r="J25" i="6"/>
  <c r="H19" i="6"/>
  <c r="P19" i="6"/>
  <c r="M22" i="6"/>
  <c r="Q25" i="6"/>
  <c r="I25" i="6"/>
  <c r="V25" i="6" s="1"/>
  <c r="O25" i="6"/>
  <c r="K19" i="6"/>
  <c r="H22" i="6"/>
  <c r="P22" i="6"/>
  <c r="N25" i="6"/>
  <c r="G22" i="6"/>
  <c r="Q22" i="6"/>
  <c r="J22" i="6"/>
  <c r="V22" i="6" s="1"/>
  <c r="L25" i="6"/>
  <c r="J16" i="6"/>
  <c r="M19" i="6"/>
  <c r="R22" i="6"/>
  <c r="R16" i="6"/>
  <c r="G25" i="6"/>
  <c r="S23" i="6"/>
  <c r="Z51" i="6" s="1"/>
  <c r="S20" i="6"/>
  <c r="Z50" i="6" s="1"/>
  <c r="AE52" i="6"/>
  <c r="E70" i="6" s="1"/>
  <c r="Z52" i="6"/>
  <c r="AK52" i="6"/>
  <c r="AI52" i="6" s="1"/>
  <c r="AK51" i="6"/>
  <c r="AI51" i="6" s="1"/>
  <c r="AO51" i="6"/>
  <c r="P69" i="6" s="1"/>
  <c r="AE51" i="6"/>
  <c r="E69" i="6" s="1"/>
  <c r="U75" i="6"/>
  <c r="AC5" i="6"/>
  <c r="AC7" i="6"/>
  <c r="AE50" i="6"/>
  <c r="E68" i="6" s="1"/>
  <c r="AK50" i="6"/>
  <c r="AI50" i="6" s="1"/>
  <c r="J43" i="6"/>
  <c r="R43" i="6"/>
  <c r="R44" i="6"/>
  <c r="R42" i="6"/>
  <c r="P43" i="6"/>
  <c r="P42" i="6"/>
  <c r="P44" i="6"/>
  <c r="AD49" i="6"/>
  <c r="B65" i="6"/>
  <c r="O65" i="6"/>
  <c r="I13" i="6"/>
  <c r="I16" i="6" s="1"/>
  <c r="Q13" i="6"/>
  <c r="Q16" i="6" s="1"/>
  <c r="E71" i="6"/>
  <c r="J72" i="6"/>
  <c r="M73" i="6"/>
  <c r="P74" i="6"/>
  <c r="L13" i="6"/>
  <c r="L16" i="6" s="1"/>
  <c r="P71" i="6"/>
  <c r="M13" i="6"/>
  <c r="M16" i="6" s="1"/>
  <c r="AO55" i="6"/>
  <c r="K13" i="6"/>
  <c r="K16" i="6" s="1"/>
  <c r="V37" i="6"/>
  <c r="N13" i="6"/>
  <c r="N16" i="6" s="1"/>
  <c r="E74" i="6"/>
  <c r="F45" i="6"/>
  <c r="G45" i="6" s="1"/>
  <c r="E73" i="6"/>
  <c r="J74" i="6"/>
  <c r="G13" i="6"/>
  <c r="G16" i="6" s="1"/>
  <c r="O13" i="6"/>
  <c r="O16" i="6" s="1"/>
  <c r="H13" i="6"/>
  <c r="H16" i="6" s="1"/>
  <c r="V19" i="6" l="1"/>
  <c r="AO52" i="6"/>
  <c r="J42" i="6"/>
  <c r="J44" i="6"/>
  <c r="B63" i="6"/>
  <c r="AJ52" i="6"/>
  <c r="AL52" i="6" s="1"/>
  <c r="AJ51" i="6"/>
  <c r="AL51" i="6" s="1"/>
  <c r="AJ50" i="6"/>
  <c r="AL50" i="6"/>
  <c r="O43" i="6"/>
  <c r="O42" i="6"/>
  <c r="O44" i="6"/>
  <c r="AO49" i="6"/>
  <c r="G44" i="6"/>
  <c r="G43" i="6"/>
  <c r="G42" i="6"/>
  <c r="V16" i="6"/>
  <c r="B64" i="6" s="1"/>
  <c r="Z49" i="6"/>
  <c r="Q42" i="6"/>
  <c r="Q43" i="6"/>
  <c r="Q44" i="6"/>
  <c r="L43" i="6"/>
  <c r="L44" i="6"/>
  <c r="L42" i="6"/>
  <c r="I43" i="6"/>
  <c r="I42" i="6"/>
  <c r="I44" i="6"/>
  <c r="AK49" i="6"/>
  <c r="AI49" i="6" s="1"/>
  <c r="H45" i="6"/>
  <c r="I45" i="6" s="1"/>
  <c r="J45" i="6" s="1"/>
  <c r="K45" i="6" s="1"/>
  <c r="L45" i="6" s="1"/>
  <c r="M45" i="6" s="1"/>
  <c r="N45" i="6" s="1"/>
  <c r="O45" i="6" s="1"/>
  <c r="P45" i="6" s="1"/>
  <c r="Q45" i="6" s="1"/>
  <c r="R45" i="6" s="1"/>
  <c r="S45" i="6" s="1"/>
  <c r="H43" i="6"/>
  <c r="H42" i="6"/>
  <c r="H44" i="6"/>
  <c r="M44" i="6"/>
  <c r="M42" i="6"/>
  <c r="M43" i="6"/>
  <c r="AE49" i="6"/>
  <c r="E67" i="6" s="1"/>
  <c r="N42" i="6"/>
  <c r="N43" i="6"/>
  <c r="N44" i="6"/>
  <c r="K44" i="6"/>
  <c r="K42" i="6"/>
  <c r="K43" i="6"/>
  <c r="U65" i="6" l="1" a="1"/>
  <c r="U65" i="6" s="1"/>
  <c r="U63" i="6"/>
  <c r="AS49" i="6"/>
  <c r="U64" i="6" a="1"/>
  <c r="U64" i="6" s="1"/>
  <c r="AJ49" i="6"/>
  <c r="AL49" i="6" s="1"/>
  <c r="R63" i="6" s="1"/>
  <c r="AT49" i="6"/>
  <c r="S43" i="6"/>
  <c r="S44" i="6"/>
  <c r="O63" i="6" l="1"/>
  <c r="M69" i="6" s="1"/>
  <c r="S69" i="6" l="1"/>
  <c r="S68" i="6"/>
  <c r="S67" i="6"/>
  <c r="J63" i="6"/>
  <c r="J69" i="6"/>
  <c r="J70" i="6"/>
  <c r="M70" i="6"/>
  <c r="P70" i="6"/>
  <c r="M63" i="6"/>
  <c r="J68" i="6"/>
  <c r="G63" i="6"/>
  <c r="M68" i="6"/>
  <c r="P67" i="6"/>
  <c r="D63" i="6"/>
  <c r="M67" i="6"/>
  <c r="J67" i="6"/>
  <c r="P82" i="6" l="1"/>
  <c r="F82" i="6"/>
  <c r="C76" i="6"/>
  <c r="B82" i="6"/>
  <c r="S82" i="6" l="1"/>
  <c r="P75" i="5"/>
  <c r="J75" i="5"/>
  <c r="M75" i="5"/>
  <c r="C53" i="5"/>
  <c r="C54" i="5"/>
  <c r="U75" i="5" l="1"/>
  <c r="C75" i="5"/>
  <c r="C74" i="5"/>
  <c r="C73" i="5"/>
  <c r="C72" i="5"/>
  <c r="C71" i="5"/>
  <c r="C70" i="5"/>
  <c r="C69" i="5"/>
  <c r="C68" i="5"/>
  <c r="AR57" i="5"/>
  <c r="AQ57" i="5"/>
  <c r="AP57" i="5"/>
  <c r="AN57" i="5"/>
  <c r="AM57" i="5"/>
  <c r="AL57" i="5"/>
  <c r="AK57" i="5"/>
  <c r="AJ57" i="5"/>
  <c r="AI57" i="5"/>
  <c r="AF57" i="5"/>
  <c r="AG57" i="5" s="1"/>
  <c r="AH57" i="5" s="1"/>
  <c r="AE57" i="5"/>
  <c r="AD57" i="5"/>
  <c r="AC57" i="5"/>
  <c r="AA57" i="5"/>
  <c r="Z57" i="5"/>
  <c r="Y57" i="5"/>
  <c r="X57" i="5"/>
  <c r="C57" i="5"/>
  <c r="AR56" i="5"/>
  <c r="AQ56" i="5"/>
  <c r="AP56" i="5"/>
  <c r="AN56" i="5"/>
  <c r="AM56" i="5"/>
  <c r="AL56" i="5"/>
  <c r="AK56" i="5"/>
  <c r="AJ56" i="5"/>
  <c r="AI56" i="5"/>
  <c r="AF56" i="5"/>
  <c r="AG56" i="5" s="1"/>
  <c r="AH56" i="5" s="1"/>
  <c r="AE56" i="5"/>
  <c r="AD56" i="5"/>
  <c r="AC56" i="5"/>
  <c r="AA56" i="5"/>
  <c r="Z56" i="5"/>
  <c r="Y56" i="5"/>
  <c r="X56" i="5"/>
  <c r="C56" i="5"/>
  <c r="AR55" i="5"/>
  <c r="AQ55" i="5"/>
  <c r="AP55" i="5"/>
  <c r="AN55" i="5"/>
  <c r="AM55" i="5"/>
  <c r="AL55" i="5"/>
  <c r="AK55" i="5"/>
  <c r="AJ55" i="5"/>
  <c r="AI55" i="5"/>
  <c r="AF55" i="5"/>
  <c r="AG55" i="5" s="1"/>
  <c r="AH55" i="5" s="1"/>
  <c r="AE55" i="5"/>
  <c r="AD55" i="5"/>
  <c r="AC55" i="5"/>
  <c r="AA55" i="5"/>
  <c r="Z55" i="5"/>
  <c r="Y55" i="5"/>
  <c r="X55" i="5"/>
  <c r="C55" i="5"/>
  <c r="AR54" i="5"/>
  <c r="AQ54" i="5"/>
  <c r="AP54" i="5"/>
  <c r="AN54" i="5"/>
  <c r="AM54" i="5"/>
  <c r="AF54" i="5"/>
  <c r="AG54" i="5" s="1"/>
  <c r="AH54" i="5" s="1"/>
  <c r="AC54" i="5"/>
  <c r="AA54" i="5"/>
  <c r="Y54" i="5"/>
  <c r="X54" i="5"/>
  <c r="AD54" i="5" s="1"/>
  <c r="AK54" i="5" s="1"/>
  <c r="AR53" i="5"/>
  <c r="AQ53" i="5"/>
  <c r="AP53" i="5"/>
  <c r="AN53" i="5"/>
  <c r="AM53" i="5"/>
  <c r="AF53" i="5"/>
  <c r="AG53" i="5" s="1"/>
  <c r="AH53" i="5" s="1"/>
  <c r="AC53" i="5"/>
  <c r="AA53" i="5"/>
  <c r="Y53" i="5"/>
  <c r="X53" i="5"/>
  <c r="AD53" i="5" s="1"/>
  <c r="AR52" i="5"/>
  <c r="AQ52" i="5"/>
  <c r="AP52" i="5"/>
  <c r="AN52" i="5"/>
  <c r="AM52" i="5"/>
  <c r="AF52" i="5"/>
  <c r="AG52" i="5" s="1"/>
  <c r="AH52" i="5" s="1"/>
  <c r="AC52" i="5"/>
  <c r="AA52" i="5"/>
  <c r="C52" i="5"/>
  <c r="AR51" i="5"/>
  <c r="AQ51" i="5"/>
  <c r="AP51" i="5"/>
  <c r="AN51" i="5"/>
  <c r="AM51" i="5"/>
  <c r="AF51" i="5"/>
  <c r="AG51" i="5" s="1"/>
  <c r="AH51" i="5" s="1"/>
  <c r="AC51" i="5"/>
  <c r="AA51" i="5"/>
  <c r="C51" i="5"/>
  <c r="AR50" i="5"/>
  <c r="AQ50" i="5"/>
  <c r="AP50" i="5"/>
  <c r="AN50" i="5"/>
  <c r="AM50" i="5"/>
  <c r="AF50" i="5"/>
  <c r="AC50" i="5"/>
  <c r="AA50" i="5"/>
  <c r="C50" i="5"/>
  <c r="AR49" i="5"/>
  <c r="AQ49" i="5"/>
  <c r="AP49" i="5"/>
  <c r="AN49" i="5"/>
  <c r="AM49" i="5"/>
  <c r="AF49" i="5"/>
  <c r="AG49" i="5" s="1"/>
  <c r="AH49" i="5" s="1"/>
  <c r="AC49" i="5"/>
  <c r="AA49" i="5"/>
  <c r="C49" i="5"/>
  <c r="S41" i="5"/>
  <c r="E75" i="5" s="1"/>
  <c r="R41" i="5"/>
  <c r="Q41" i="5"/>
  <c r="P41" i="5"/>
  <c r="O41" i="5"/>
  <c r="N41" i="5"/>
  <c r="M41" i="5"/>
  <c r="L41" i="5"/>
  <c r="K41" i="5"/>
  <c r="J41" i="5"/>
  <c r="I41" i="5"/>
  <c r="H41" i="5"/>
  <c r="G41" i="5"/>
  <c r="F41" i="5"/>
  <c r="R40" i="5"/>
  <c r="Q40" i="5"/>
  <c r="P40" i="5"/>
  <c r="O40" i="5"/>
  <c r="N40" i="5"/>
  <c r="M40" i="5"/>
  <c r="L40" i="5"/>
  <c r="K40" i="5"/>
  <c r="J40" i="5"/>
  <c r="I40" i="5"/>
  <c r="H40" i="5"/>
  <c r="G40" i="5"/>
  <c r="V39" i="5"/>
  <c r="V38" i="5"/>
  <c r="R38" i="5"/>
  <c r="Q38" i="5"/>
  <c r="P38" i="5"/>
  <c r="O38" i="5"/>
  <c r="N38" i="5"/>
  <c r="M38" i="5"/>
  <c r="L38" i="5"/>
  <c r="K38" i="5"/>
  <c r="J38" i="5"/>
  <c r="I38" i="5"/>
  <c r="H38" i="5"/>
  <c r="G38" i="5"/>
  <c r="F38" i="5"/>
  <c r="R37" i="5"/>
  <c r="Q37" i="5"/>
  <c r="P37" i="5"/>
  <c r="O37" i="5"/>
  <c r="N37" i="5"/>
  <c r="M37" i="5"/>
  <c r="L37" i="5"/>
  <c r="K37" i="5"/>
  <c r="J37" i="5"/>
  <c r="I37" i="5"/>
  <c r="H37" i="5"/>
  <c r="G37" i="5"/>
  <c r="V36" i="5"/>
  <c r="V35" i="5"/>
  <c r="R35" i="5"/>
  <c r="Q35" i="5"/>
  <c r="P35" i="5"/>
  <c r="O35" i="5"/>
  <c r="N35" i="5"/>
  <c r="M35" i="5"/>
  <c r="L35" i="5"/>
  <c r="K35" i="5"/>
  <c r="J35" i="5"/>
  <c r="I35" i="5"/>
  <c r="H35" i="5"/>
  <c r="G35" i="5"/>
  <c r="F35" i="5"/>
  <c r="R34" i="5"/>
  <c r="Q34" i="5"/>
  <c r="P34" i="5"/>
  <c r="O34" i="5"/>
  <c r="N34" i="5"/>
  <c r="M34" i="5"/>
  <c r="L34" i="5"/>
  <c r="K34" i="5"/>
  <c r="J34" i="5"/>
  <c r="I34" i="5"/>
  <c r="H34" i="5"/>
  <c r="G34" i="5"/>
  <c r="V33" i="5"/>
  <c r="V32" i="5"/>
  <c r="R32" i="5"/>
  <c r="Q32" i="5"/>
  <c r="P32" i="5"/>
  <c r="O32" i="5"/>
  <c r="N32" i="5"/>
  <c r="M32" i="5"/>
  <c r="L32" i="5"/>
  <c r="K32" i="5"/>
  <c r="J32" i="5"/>
  <c r="I32" i="5"/>
  <c r="H32" i="5"/>
  <c r="G32" i="5"/>
  <c r="F32" i="5"/>
  <c r="R31" i="5"/>
  <c r="Q31" i="5"/>
  <c r="P31" i="5"/>
  <c r="O31" i="5"/>
  <c r="N31" i="5"/>
  <c r="M31" i="5"/>
  <c r="L31" i="5"/>
  <c r="K31" i="5"/>
  <c r="J31" i="5"/>
  <c r="I31" i="5"/>
  <c r="H31" i="5"/>
  <c r="G31" i="5"/>
  <c r="V30" i="5"/>
  <c r="V29" i="5"/>
  <c r="R29" i="5"/>
  <c r="Q29" i="5"/>
  <c r="P29" i="5"/>
  <c r="O29" i="5"/>
  <c r="N29" i="5"/>
  <c r="M29" i="5"/>
  <c r="L29" i="5"/>
  <c r="K29" i="5"/>
  <c r="J29" i="5"/>
  <c r="I29" i="5"/>
  <c r="H29" i="5"/>
  <c r="G29" i="5"/>
  <c r="F29" i="5"/>
  <c r="R28" i="5"/>
  <c r="Q28" i="5"/>
  <c r="P28" i="5"/>
  <c r="O28" i="5"/>
  <c r="N28" i="5"/>
  <c r="M28" i="5"/>
  <c r="L28" i="5"/>
  <c r="K28" i="5"/>
  <c r="J28" i="5"/>
  <c r="I28" i="5"/>
  <c r="H28" i="5"/>
  <c r="G28" i="5"/>
  <c r="V27" i="5"/>
  <c r="V26" i="5"/>
  <c r="S70" i="5" s="1"/>
  <c r="R26" i="5"/>
  <c r="Q26" i="5"/>
  <c r="P26" i="5"/>
  <c r="O26" i="5"/>
  <c r="N26" i="5"/>
  <c r="M26" i="5"/>
  <c r="L26" i="5"/>
  <c r="K26" i="5"/>
  <c r="J26" i="5"/>
  <c r="I26" i="5"/>
  <c r="H26" i="5"/>
  <c r="G26" i="5"/>
  <c r="F26" i="5"/>
  <c r="V24" i="5"/>
  <c r="V23" i="5"/>
  <c r="R23" i="5"/>
  <c r="Q23" i="5"/>
  <c r="P23" i="5"/>
  <c r="O23" i="5"/>
  <c r="N23" i="5"/>
  <c r="M23" i="5"/>
  <c r="L23" i="5"/>
  <c r="K23" i="5"/>
  <c r="J23" i="5"/>
  <c r="I23" i="5"/>
  <c r="H23" i="5"/>
  <c r="G23" i="5"/>
  <c r="F23" i="5"/>
  <c r="V21" i="5"/>
  <c r="V20" i="5"/>
  <c r="R20" i="5"/>
  <c r="Q20" i="5"/>
  <c r="P20" i="5"/>
  <c r="O20" i="5"/>
  <c r="N20" i="5"/>
  <c r="M20" i="5"/>
  <c r="L20" i="5"/>
  <c r="K20" i="5"/>
  <c r="J20" i="5"/>
  <c r="I20" i="5"/>
  <c r="H20" i="5"/>
  <c r="G20" i="5"/>
  <c r="F20" i="5"/>
  <c r="V18" i="5"/>
  <c r="V17" i="5"/>
  <c r="R17" i="5"/>
  <c r="Q17" i="5"/>
  <c r="P17" i="5"/>
  <c r="O17" i="5"/>
  <c r="N17" i="5"/>
  <c r="M17" i="5"/>
  <c r="L17" i="5"/>
  <c r="K17" i="5"/>
  <c r="J17" i="5"/>
  <c r="I17" i="5"/>
  <c r="H17" i="5"/>
  <c r="G17" i="5"/>
  <c r="V15" i="5"/>
  <c r="F14" i="5"/>
  <c r="R13" i="5" s="1"/>
  <c r="P13" i="5"/>
  <c r="AA7" i="5"/>
  <c r="AC8" i="5" s="1"/>
  <c r="AC10" i="5" s="1"/>
  <c r="AA6" i="5"/>
  <c r="Y50" i="5" s="1"/>
  <c r="AA5" i="5"/>
  <c r="X52" i="5" s="1"/>
  <c r="F42" i="5" l="1"/>
  <c r="F43" i="5"/>
  <c r="J73" i="5"/>
  <c r="P73" i="5"/>
  <c r="M73" i="5"/>
  <c r="E71" i="5"/>
  <c r="M71" i="5"/>
  <c r="J71" i="5"/>
  <c r="P71" i="5"/>
  <c r="J74" i="5"/>
  <c r="M74" i="5"/>
  <c r="P74" i="5"/>
  <c r="M72" i="5"/>
  <c r="J72" i="5"/>
  <c r="P72" i="5"/>
  <c r="R16" i="5"/>
  <c r="P16" i="5"/>
  <c r="Z54" i="5"/>
  <c r="AE54" i="5"/>
  <c r="AI54" i="5"/>
  <c r="AK53" i="5"/>
  <c r="AE53" i="5"/>
  <c r="Z53" i="5"/>
  <c r="AI53" i="5"/>
  <c r="AC6" i="5"/>
  <c r="G13" i="5"/>
  <c r="G16" i="5" s="1"/>
  <c r="M13" i="5"/>
  <c r="M16" i="5" s="1"/>
  <c r="H13" i="5"/>
  <c r="H16" i="5" s="1"/>
  <c r="N13" i="5"/>
  <c r="N16" i="5" s="1"/>
  <c r="O13" i="5"/>
  <c r="O16" i="5" s="1"/>
  <c r="AC7" i="5"/>
  <c r="P19" i="5"/>
  <c r="AC5" i="5"/>
  <c r="F45" i="5" s="1"/>
  <c r="G45" i="5" s="1"/>
  <c r="S20" i="5"/>
  <c r="O19" i="5"/>
  <c r="AO56" i="5"/>
  <c r="S23" i="5"/>
  <c r="AO53" i="5"/>
  <c r="S32" i="5"/>
  <c r="V34" i="5"/>
  <c r="K13" i="5"/>
  <c r="K22" i="5" s="1"/>
  <c r="L13" i="5"/>
  <c r="L16" i="5" s="1"/>
  <c r="V31" i="5"/>
  <c r="V28" i="5"/>
  <c r="AO57" i="5"/>
  <c r="T41" i="5"/>
  <c r="S17" i="5"/>
  <c r="S29" i="5"/>
  <c r="S26" i="5"/>
  <c r="AO55" i="5"/>
  <c r="S35" i="5"/>
  <c r="S38" i="5"/>
  <c r="AD52" i="5"/>
  <c r="R22" i="5"/>
  <c r="R19" i="5"/>
  <c r="V37" i="5"/>
  <c r="Y52" i="5"/>
  <c r="M22" i="5"/>
  <c r="X51" i="5"/>
  <c r="E74" i="5"/>
  <c r="N22" i="5"/>
  <c r="Y51" i="5"/>
  <c r="G22" i="5"/>
  <c r="O22" i="5"/>
  <c r="X49" i="5"/>
  <c r="X50" i="5"/>
  <c r="E73" i="5"/>
  <c r="Y49" i="5"/>
  <c r="AG50" i="5"/>
  <c r="AH50" i="5" s="1"/>
  <c r="AO54" i="5"/>
  <c r="S40" i="5"/>
  <c r="E72" i="5"/>
  <c r="P22" i="5"/>
  <c r="I13" i="5"/>
  <c r="I16" i="5" s="1"/>
  <c r="Q13" i="5"/>
  <c r="Q16" i="5" s="1"/>
  <c r="J13" i="5"/>
  <c r="J16" i="5" s="1"/>
  <c r="B65" i="5" l="1"/>
  <c r="U74" i="5"/>
  <c r="U72" i="5"/>
  <c r="U73" i="5"/>
  <c r="U71" i="5"/>
  <c r="N19" i="5"/>
  <c r="N44" i="5" s="1"/>
  <c r="K16" i="5"/>
  <c r="M19" i="5"/>
  <c r="O65" i="5"/>
  <c r="AJ54" i="5"/>
  <c r="AL54" i="5" s="1"/>
  <c r="AJ53" i="5"/>
  <c r="AL53" i="5" s="1"/>
  <c r="H22" i="5"/>
  <c r="G19" i="5"/>
  <c r="G42" i="5" s="1"/>
  <c r="H19" i="5"/>
  <c r="L19" i="5"/>
  <c r="K19" i="5"/>
  <c r="L22" i="5"/>
  <c r="Z52" i="5"/>
  <c r="P42" i="5"/>
  <c r="P43" i="5"/>
  <c r="P44" i="5"/>
  <c r="J22" i="5"/>
  <c r="J19" i="5"/>
  <c r="AD51" i="5"/>
  <c r="O44" i="5"/>
  <c r="O42" i="5"/>
  <c r="O43" i="5"/>
  <c r="R43" i="5"/>
  <c r="R44" i="5"/>
  <c r="R42" i="5"/>
  <c r="AD50" i="5"/>
  <c r="AK50" i="5" s="1"/>
  <c r="AE52" i="5"/>
  <c r="E70" i="5" s="1"/>
  <c r="I22" i="5"/>
  <c r="I19" i="5"/>
  <c r="M43" i="5"/>
  <c r="AD49" i="5"/>
  <c r="AK49" i="5" s="1"/>
  <c r="Q22" i="5"/>
  <c r="Q19" i="5"/>
  <c r="AK52" i="5"/>
  <c r="AI52" i="5" s="1"/>
  <c r="H45" i="5"/>
  <c r="I45" i="5" s="1"/>
  <c r="J45" i="5" s="1"/>
  <c r="K45" i="5" s="1"/>
  <c r="L45" i="5" s="1"/>
  <c r="M45" i="5" s="1"/>
  <c r="N45" i="5" s="1"/>
  <c r="O45" i="5" s="1"/>
  <c r="P45" i="5" s="1"/>
  <c r="Q45" i="5" s="1"/>
  <c r="R45" i="5" s="1"/>
  <c r="S45" i="5" s="1"/>
  <c r="AK51" i="5" l="1"/>
  <c r="M42" i="5"/>
  <c r="M44" i="5"/>
  <c r="N43" i="5"/>
  <c r="N42" i="5"/>
  <c r="H43" i="5"/>
  <c r="G44" i="5"/>
  <c r="H44" i="5"/>
  <c r="L44" i="5"/>
  <c r="K43" i="5"/>
  <c r="H42" i="5"/>
  <c r="AO51" i="5"/>
  <c r="P69" i="5" s="1"/>
  <c r="G43" i="5"/>
  <c r="L43" i="5"/>
  <c r="V16" i="5"/>
  <c r="K42" i="5"/>
  <c r="V22" i="5"/>
  <c r="K44" i="5"/>
  <c r="AO49" i="5"/>
  <c r="L42" i="5"/>
  <c r="AJ52" i="5"/>
  <c r="AL52" i="5" s="1"/>
  <c r="Q43" i="5"/>
  <c r="Q44" i="5"/>
  <c r="Q42" i="5"/>
  <c r="AS49" i="5"/>
  <c r="AI50" i="5"/>
  <c r="AE50" i="5"/>
  <c r="E68" i="5" s="1"/>
  <c r="Z50" i="5"/>
  <c r="J43" i="5"/>
  <c r="J44" i="5"/>
  <c r="J42" i="5"/>
  <c r="AI51" i="5"/>
  <c r="Z51" i="5"/>
  <c r="AE51" i="5"/>
  <c r="E69" i="5" s="1"/>
  <c r="AI49" i="5"/>
  <c r="AE49" i="5"/>
  <c r="E67" i="5" s="1"/>
  <c r="Z49" i="5"/>
  <c r="V19" i="5"/>
  <c r="AO50" i="5"/>
  <c r="V25" i="5"/>
  <c r="AO52" i="5"/>
  <c r="P70" i="5" s="1"/>
  <c r="AT49" i="5"/>
  <c r="I43" i="5"/>
  <c r="I44" i="5"/>
  <c r="I42" i="5"/>
  <c r="B64" i="5" l="1"/>
  <c r="B63" i="5"/>
  <c r="S44" i="5"/>
  <c r="S43" i="5"/>
  <c r="AJ49" i="5"/>
  <c r="AL49" i="5" s="1"/>
  <c r="AJ50" i="5"/>
  <c r="AL50" i="5" s="1"/>
  <c r="AJ51" i="5"/>
  <c r="AL51" i="5" s="1"/>
  <c r="U64" i="5" l="1" a="1"/>
  <c r="U64" i="5" s="1"/>
  <c r="U63" i="5"/>
  <c r="U65" i="5" a="1"/>
  <c r="U65" i="5" s="1"/>
  <c r="R63" i="5"/>
  <c r="O63" i="5" l="1"/>
  <c r="S69" i="5" s="1"/>
  <c r="M69" i="5" l="1"/>
  <c r="J69" i="5"/>
  <c r="U69" i="5" s="1"/>
  <c r="J67" i="5"/>
  <c r="D63" i="5"/>
  <c r="S67" i="5"/>
  <c r="S68" i="5"/>
  <c r="P67" i="5"/>
  <c r="M70" i="5"/>
  <c r="J70" i="5"/>
  <c r="M68" i="5"/>
  <c r="P68" i="5"/>
  <c r="J68" i="5"/>
  <c r="G63" i="5"/>
  <c r="M67" i="5"/>
  <c r="M63" i="5"/>
  <c r="J63" i="5"/>
  <c r="U67" i="5" l="1"/>
  <c r="K82" i="5"/>
  <c r="U68" i="5"/>
  <c r="U70" i="5"/>
  <c r="P82" i="5"/>
  <c r="C76" i="5"/>
  <c r="B82" i="5"/>
  <c r="F82" i="5"/>
  <c r="S82"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<sst xmlns="http://schemas.openxmlformats.org/spreadsheetml/2006/main" count="321" uniqueCount="112">
  <si>
    <t>【保険料率等】</t>
    <rPh sb="1" eb="3">
      <t>ホケン</t>
    </rPh>
    <rPh sb="3" eb="5">
      <t>リョウリツ</t>
    </rPh>
    <rPh sb="5" eb="6">
      <t>トウ</t>
    </rPh>
    <phoneticPr fontId="2"/>
  </si>
  <si>
    <t>所得割率</t>
    <rPh sb="0" eb="2">
      <t>ショトク</t>
    </rPh>
    <rPh sb="2" eb="3">
      <t>ワリ</t>
    </rPh>
    <rPh sb="3" eb="4">
      <t>リツ</t>
    </rPh>
    <phoneticPr fontId="2"/>
  </si>
  <si>
    <t>均等割額</t>
    <rPh sb="0" eb="3">
      <t>キントウワリ</t>
    </rPh>
    <rPh sb="3" eb="4">
      <t>ガク</t>
    </rPh>
    <phoneticPr fontId="2"/>
  </si>
  <si>
    <t>平等割額</t>
    <rPh sb="0" eb="2">
      <t>ビョウドウ</t>
    </rPh>
    <rPh sb="2" eb="3">
      <t>ワリ</t>
    </rPh>
    <rPh sb="3" eb="4">
      <t>ガク</t>
    </rPh>
    <phoneticPr fontId="2"/>
  </si>
  <si>
    <t>賦課限度額</t>
    <rPh sb="0" eb="2">
      <t>フカ</t>
    </rPh>
    <rPh sb="2" eb="4">
      <t>ゲンド</t>
    </rPh>
    <rPh sb="4" eb="5">
      <t>ガク</t>
    </rPh>
    <phoneticPr fontId="2"/>
  </si>
  <si>
    <t>医療分</t>
    <rPh sb="0" eb="2">
      <t>イリョウ</t>
    </rPh>
    <rPh sb="2" eb="3">
      <t>ブン</t>
    </rPh>
    <phoneticPr fontId="2"/>
  </si>
  <si>
    <t>支援金分</t>
    <rPh sb="0" eb="3">
      <t>シエンキン</t>
    </rPh>
    <rPh sb="3" eb="4">
      <t>ブン</t>
    </rPh>
    <phoneticPr fontId="2"/>
  </si>
  <si>
    <t>介護分</t>
    <rPh sb="0" eb="2">
      <t>カイゴ</t>
    </rPh>
    <rPh sb="2" eb="3">
      <t>ブン</t>
    </rPh>
    <phoneticPr fontId="2"/>
  </si>
  <si>
    <t>4/1年齢</t>
    <rPh sb="3" eb="5">
      <t>ネンレイ</t>
    </rPh>
    <phoneticPr fontId="2"/>
  </si>
  <si>
    <t>年金特別控除</t>
    <rPh sb="0" eb="2">
      <t>ネンキン</t>
    </rPh>
    <rPh sb="2" eb="4">
      <t>トクベツ</t>
    </rPh>
    <rPh sb="4" eb="6">
      <t>コウジョ</t>
    </rPh>
    <phoneticPr fontId="2"/>
  </si>
  <si>
    <t>給与所得者等</t>
    <rPh sb="0" eb="2">
      <t>キュウヨ</t>
    </rPh>
    <rPh sb="2" eb="4">
      <t>ショトク</t>
    </rPh>
    <rPh sb="4" eb="5">
      <t>シャ</t>
    </rPh>
    <rPh sb="5" eb="6">
      <t>トウ</t>
    </rPh>
    <phoneticPr fontId="2"/>
  </si>
  <si>
    <t>医療・支援月数</t>
    <rPh sb="0" eb="2">
      <t>イリョウ</t>
    </rPh>
    <rPh sb="3" eb="5">
      <t>シエン</t>
    </rPh>
    <rPh sb="5" eb="7">
      <t>ツキスウ</t>
    </rPh>
    <phoneticPr fontId="2"/>
  </si>
  <si>
    <t>介護月数</t>
    <rPh sb="0" eb="2">
      <t>カイゴ</t>
    </rPh>
    <rPh sb="2" eb="4">
      <t>ツキスウ</t>
    </rPh>
    <phoneticPr fontId="2"/>
  </si>
  <si>
    <t>世帯主</t>
    <rPh sb="0" eb="2">
      <t>セタイ</t>
    </rPh>
    <rPh sb="2" eb="3">
      <t>ヌシ</t>
    </rPh>
    <phoneticPr fontId="2"/>
  </si>
  <si>
    <t>世帯員①</t>
    <rPh sb="0" eb="3">
      <t>セタイイン</t>
    </rPh>
    <phoneticPr fontId="2"/>
  </si>
  <si>
    <t>世帯員②</t>
    <rPh sb="0" eb="3">
      <t>セタイイン</t>
    </rPh>
    <phoneticPr fontId="2"/>
  </si>
  <si>
    <t>世帯員③</t>
    <rPh sb="0" eb="3">
      <t>セタイイン</t>
    </rPh>
    <phoneticPr fontId="2"/>
  </si>
  <si>
    <t>世帯員④</t>
    <rPh sb="0" eb="3">
      <t>セタイイン</t>
    </rPh>
    <phoneticPr fontId="2"/>
  </si>
  <si>
    <t>世帯員⑤</t>
    <rPh sb="0" eb="3">
      <t>セタイイン</t>
    </rPh>
    <phoneticPr fontId="2"/>
  </si>
  <si>
    <t>世帯員⑥</t>
    <rPh sb="0" eb="3">
      <t>セタイイン</t>
    </rPh>
    <phoneticPr fontId="2"/>
  </si>
  <si>
    <t>世帯員⑦</t>
    <rPh sb="0" eb="3">
      <t>セタイイン</t>
    </rPh>
    <phoneticPr fontId="2"/>
  </si>
  <si>
    <t>世帯員⑧</t>
    <rPh sb="0" eb="3">
      <t>セタイイン</t>
    </rPh>
    <phoneticPr fontId="2"/>
  </si>
  <si>
    <t>【保険料の内訳】</t>
    <rPh sb="1" eb="4">
      <t>ホケンリョウ</t>
    </rPh>
    <rPh sb="5" eb="7">
      <t>ウチワケ</t>
    </rPh>
    <phoneticPr fontId="2"/>
  </si>
  <si>
    <t>後期支援分</t>
    <rPh sb="0" eb="2">
      <t>コウキ</t>
    </rPh>
    <rPh sb="2" eb="4">
      <t>シエン</t>
    </rPh>
    <rPh sb="4" eb="5">
      <t>ブン</t>
    </rPh>
    <phoneticPr fontId="2"/>
  </si>
  <si>
    <t>軽減割合</t>
    <rPh sb="0" eb="2">
      <t>ケイゲン</t>
    </rPh>
    <rPh sb="2" eb="4">
      <t>ワリアイ</t>
    </rPh>
    <phoneticPr fontId="2"/>
  </si>
  <si>
    <t>軽減
基準額</t>
    <rPh sb="0" eb="2">
      <t>ケイゲン</t>
    </rPh>
    <rPh sb="3" eb="5">
      <t>キジュン</t>
    </rPh>
    <rPh sb="5" eb="6">
      <t>ガク</t>
    </rPh>
    <phoneticPr fontId="2"/>
  </si>
  <si>
    <t>軽減判定所得</t>
    <rPh sb="0" eb="2">
      <t>ケイゲン</t>
    </rPh>
    <rPh sb="2" eb="4">
      <t>ハンテイ</t>
    </rPh>
    <rPh sb="4" eb="6">
      <t>ショトク</t>
    </rPh>
    <phoneticPr fontId="2"/>
  </si>
  <si>
    <t>7割</t>
    <rPh sb="1" eb="2">
      <t>ワリ</t>
    </rPh>
    <phoneticPr fontId="2"/>
  </si>
  <si>
    <t>5割</t>
    <rPh sb="1" eb="2">
      <t>ワリ</t>
    </rPh>
    <phoneticPr fontId="2"/>
  </si>
  <si>
    <t>2割</t>
    <rPh sb="1" eb="2">
      <t>ワリ</t>
    </rPh>
    <phoneticPr fontId="2"/>
  </si>
  <si>
    <t>算定基準額</t>
    <rPh sb="0" eb="2">
      <t>サンテイ</t>
    </rPh>
    <rPh sb="2" eb="4">
      <t>キジュン</t>
    </rPh>
    <rPh sb="4" eb="5">
      <t>ガク</t>
    </rPh>
    <phoneticPr fontId="2"/>
  </si>
  <si>
    <t>合計</t>
    <rPh sb="0" eb="2">
      <t>ゴウケイ</t>
    </rPh>
    <phoneticPr fontId="2"/>
  </si>
  <si>
    <t>【年間保険料の試算結果】</t>
    <rPh sb="1" eb="3">
      <t>ネンカン</t>
    </rPh>
    <rPh sb="3" eb="6">
      <t>ホケンリョウ</t>
    </rPh>
    <rPh sb="7" eb="9">
      <t>シサン</t>
    </rPh>
    <rPh sb="9" eb="11">
      <t>ケッカ</t>
    </rPh>
    <phoneticPr fontId="2"/>
  </si>
  <si>
    <t>介護取得日</t>
    <rPh sb="0" eb="2">
      <t>カイゴ</t>
    </rPh>
    <rPh sb="2" eb="4">
      <t>シュトク</t>
    </rPh>
    <rPh sb="4" eb="5">
      <t>ビ</t>
    </rPh>
    <phoneticPr fontId="2"/>
  </si>
  <si>
    <t>介護喪失日</t>
    <rPh sb="0" eb="2">
      <t>カイゴ</t>
    </rPh>
    <rPh sb="2" eb="4">
      <t>ソウシツ</t>
    </rPh>
    <rPh sb="4" eb="5">
      <t>ビ</t>
    </rPh>
    <phoneticPr fontId="2"/>
  </si>
  <si>
    <t>後期加入日</t>
    <rPh sb="0" eb="2">
      <t>コウキ</t>
    </rPh>
    <rPh sb="2" eb="5">
      <t>カニュウビ</t>
    </rPh>
    <phoneticPr fontId="2"/>
  </si>
  <si>
    <t>特定世帯喪失日</t>
    <rPh sb="0" eb="2">
      <t>トクテイ</t>
    </rPh>
    <rPh sb="2" eb="4">
      <t>セタイ</t>
    </rPh>
    <rPh sb="4" eb="6">
      <t>ソウシツ</t>
    </rPh>
    <rPh sb="6" eb="7">
      <t>ビ</t>
    </rPh>
    <phoneticPr fontId="2"/>
  </si>
  <si>
    <t>特定継続世帯喪失日</t>
    <rPh sb="0" eb="2">
      <t>トクテイ</t>
    </rPh>
    <rPh sb="2" eb="4">
      <t>ケイゾク</t>
    </rPh>
    <rPh sb="4" eb="6">
      <t>セタイ</t>
    </rPh>
    <rPh sb="6" eb="8">
      <t>ソウシツ</t>
    </rPh>
    <rPh sb="8" eb="9">
      <t>ビ</t>
    </rPh>
    <phoneticPr fontId="2"/>
  </si>
  <si>
    <t>特定世帯月数</t>
    <rPh sb="0" eb="2">
      <t>トクテイ</t>
    </rPh>
    <rPh sb="2" eb="4">
      <t>セタイ</t>
    </rPh>
    <rPh sb="4" eb="6">
      <t>ツキスウ</t>
    </rPh>
    <phoneticPr fontId="2"/>
  </si>
  <si>
    <t>特定継続世帯月数</t>
    <rPh sb="0" eb="2">
      <t>トクテイ</t>
    </rPh>
    <rPh sb="2" eb="4">
      <t>ケイゾク</t>
    </rPh>
    <rPh sb="4" eb="6">
      <t>セタイ</t>
    </rPh>
    <rPh sb="6" eb="8">
      <t>ツキスウ</t>
    </rPh>
    <phoneticPr fontId="2"/>
  </si>
  <si>
    <t>年金収入</t>
    <rPh sb="0" eb="2">
      <t>ネンキン</t>
    </rPh>
    <rPh sb="2" eb="4">
      <t>シュウニュウ</t>
    </rPh>
    <phoneticPr fontId="2"/>
  </si>
  <si>
    <t>1/1年齢</t>
    <rPh sb="3" eb="5">
      <t>ネンレイ</t>
    </rPh>
    <phoneticPr fontId="2"/>
  </si>
  <si>
    <t>軽減判定用所得</t>
    <rPh sb="0" eb="2">
      <t>ケイゲン</t>
    </rPh>
    <rPh sb="2" eb="5">
      <t>ハンテイヨウ</t>
    </rPh>
    <rPh sb="5" eb="7">
      <t>ショトク</t>
    </rPh>
    <phoneticPr fontId="2"/>
  </si>
  <si>
    <t>給与所得（所得割用）</t>
    <rPh sb="0" eb="2">
      <t>キュウヨ</t>
    </rPh>
    <rPh sb="2" eb="4">
      <t>ショトク</t>
    </rPh>
    <rPh sb="5" eb="7">
      <t>ショトク</t>
    </rPh>
    <rPh sb="7" eb="9">
      <t>ワリヨウ</t>
    </rPh>
    <phoneticPr fontId="2"/>
  </si>
  <si>
    <t>給与所得（所得割用）
（非自発的失業適用後）</t>
    <rPh sb="0" eb="4">
      <t>キュウヨショトク</t>
    </rPh>
    <rPh sb="5" eb="7">
      <t>ショトク</t>
    </rPh>
    <rPh sb="7" eb="8">
      <t>ワリ</t>
    </rPh>
    <rPh sb="8" eb="9">
      <t>ヨウ</t>
    </rPh>
    <rPh sb="12" eb="13">
      <t>ヒ</t>
    </rPh>
    <rPh sb="13" eb="16">
      <t>ジハツテキ</t>
    </rPh>
    <rPh sb="16" eb="18">
      <t>シツギョウ</t>
    </rPh>
    <rPh sb="18" eb="20">
      <t>テキヨウ</t>
    </rPh>
    <rPh sb="20" eb="21">
      <t>ゴ</t>
    </rPh>
    <phoneticPr fontId="2"/>
  </si>
  <si>
    <t>各種基準日</t>
    <rPh sb="0" eb="2">
      <t>カクシュ</t>
    </rPh>
    <rPh sb="2" eb="5">
      <t>キジュンビ</t>
    </rPh>
    <phoneticPr fontId="2"/>
  </si>
  <si>
    <t>１月１日年齢判定</t>
    <rPh sb="1" eb="2">
      <t>ガツ</t>
    </rPh>
    <rPh sb="3" eb="4">
      <t>ヒ</t>
    </rPh>
    <rPh sb="4" eb="6">
      <t>ネンレイ</t>
    </rPh>
    <rPh sb="6" eb="8">
      <t>ハンテイ</t>
    </rPh>
    <phoneticPr fontId="2"/>
  </si>
  <si>
    <t>年度初め</t>
    <rPh sb="0" eb="2">
      <t>ネンド</t>
    </rPh>
    <rPh sb="2" eb="3">
      <t>ハジ</t>
    </rPh>
    <phoneticPr fontId="2"/>
  </si>
  <si>
    <t>年度末</t>
    <rPh sb="0" eb="3">
      <t>ネンドマツ</t>
    </rPh>
    <phoneticPr fontId="2"/>
  </si>
  <si>
    <t>特定世帯移行日</t>
    <rPh sb="0" eb="2">
      <t>トクテイ</t>
    </rPh>
    <rPh sb="2" eb="4">
      <t>セタイ</t>
    </rPh>
    <rPh sb="4" eb="6">
      <t>イコウ</t>
    </rPh>
    <rPh sb="6" eb="7">
      <t>ビ</t>
    </rPh>
    <phoneticPr fontId="2"/>
  </si>
  <si>
    <t>特定継続世帯移行日</t>
    <rPh sb="0" eb="2">
      <t>トクテイ</t>
    </rPh>
    <rPh sb="2" eb="4">
      <t>ケイゾク</t>
    </rPh>
    <rPh sb="4" eb="6">
      <t>セタイ</t>
    </rPh>
    <rPh sb="6" eb="8">
      <t>イコウ</t>
    </rPh>
    <rPh sb="8" eb="9">
      <t>ビ</t>
    </rPh>
    <phoneticPr fontId="2"/>
  </si>
  <si>
    <t>特定継続世帯終了日</t>
    <rPh sb="0" eb="2">
      <t>トクテイ</t>
    </rPh>
    <rPh sb="2" eb="4">
      <t>ケイゾク</t>
    </rPh>
    <rPh sb="4" eb="6">
      <t>セタイ</t>
    </rPh>
    <rPh sb="6" eb="9">
      <t>シュウリョウビ</t>
    </rPh>
    <phoneticPr fontId="2"/>
  </si>
  <si>
    <t>特定継続世帯終了年度末</t>
    <rPh sb="0" eb="2">
      <t>トクテイ</t>
    </rPh>
    <rPh sb="2" eb="4">
      <t>ケイゾク</t>
    </rPh>
    <rPh sb="4" eb="6">
      <t>セタイ</t>
    </rPh>
    <rPh sb="6" eb="8">
      <t>シュウリョウ</t>
    </rPh>
    <rPh sb="8" eb="10">
      <t>ネンド</t>
    </rPh>
    <rPh sb="10" eb="11">
      <t>マツ</t>
    </rPh>
    <phoneticPr fontId="2"/>
  </si>
  <si>
    <t>特定世帯終了年度末</t>
    <rPh sb="0" eb="2">
      <t>トクテイ</t>
    </rPh>
    <rPh sb="2" eb="4">
      <t>セタイ</t>
    </rPh>
    <rPh sb="4" eb="6">
      <t>シュウリョウ</t>
    </rPh>
    <rPh sb="6" eb="8">
      <t>ネンド</t>
    </rPh>
    <rPh sb="8" eb="9">
      <t>マツ</t>
    </rPh>
    <phoneticPr fontId="2"/>
  </si>
  <si>
    <t>給与所得（軽減判定用）
（非自発的失業適用後）</t>
    <rPh sb="0" eb="4">
      <t>キュウヨショトク</t>
    </rPh>
    <rPh sb="5" eb="7">
      <t>ケイゲン</t>
    </rPh>
    <rPh sb="7" eb="9">
      <t>ハンテイ</t>
    </rPh>
    <rPh sb="9" eb="10">
      <t>ヨウ</t>
    </rPh>
    <rPh sb="10" eb="11">
      <t>ショヨウ</t>
    </rPh>
    <rPh sb="13" eb="14">
      <t>ヒ</t>
    </rPh>
    <rPh sb="14" eb="17">
      <t>ジハツテキ</t>
    </rPh>
    <rPh sb="17" eb="19">
      <t>シツギョウ</t>
    </rPh>
    <rPh sb="19" eb="21">
      <t>テキヨウ</t>
    </rPh>
    <rPh sb="21" eb="22">
      <t>ゴ</t>
    </rPh>
    <phoneticPr fontId="2"/>
  </si>
  <si>
    <t>内、事業専従者給与収入</t>
    <rPh sb="0" eb="1">
      <t>ウチ</t>
    </rPh>
    <rPh sb="2" eb="4">
      <t>ジギョウ</t>
    </rPh>
    <rPh sb="4" eb="7">
      <t>センジュウシャ</t>
    </rPh>
    <rPh sb="7" eb="9">
      <t>キュウヨ</t>
    </rPh>
    <rPh sb="9" eb="11">
      <t>シュウニュウ</t>
    </rPh>
    <phoneticPr fontId="2"/>
  </si>
  <si>
    <t>氏名</t>
    <rPh sb="0" eb="2">
      <t>シメイ</t>
    </rPh>
    <phoneticPr fontId="2"/>
  </si>
  <si>
    <t>特定世帯判定</t>
    <rPh sb="0" eb="2">
      <t>トクテイ</t>
    </rPh>
    <rPh sb="2" eb="4">
      <t>セタイ</t>
    </rPh>
    <rPh sb="4" eb="6">
      <t>ハンテイ</t>
    </rPh>
    <phoneticPr fontId="2"/>
  </si>
  <si>
    <t>軽減判定計算</t>
    <rPh sb="0" eb="2">
      <t>ケイゲン</t>
    </rPh>
    <rPh sb="2" eb="4">
      <t>ハンテイ</t>
    </rPh>
    <rPh sb="4" eb="6">
      <t>ケイサン</t>
    </rPh>
    <phoneticPr fontId="2"/>
  </si>
  <si>
    <t>平等割年額</t>
    <rPh sb="0" eb="2">
      <t>ビョウドウ</t>
    </rPh>
    <rPh sb="2" eb="3">
      <t>ワリ</t>
    </rPh>
    <rPh sb="3" eb="5">
      <t>ネンガク</t>
    </rPh>
    <phoneticPr fontId="2"/>
  </si>
  <si>
    <t>４月</t>
    <rPh sb="1" eb="2">
      <t>ガツ</t>
    </rPh>
    <phoneticPr fontId="2"/>
  </si>
  <si>
    <t>５月</t>
  </si>
  <si>
    <t>６月</t>
  </si>
  <si>
    <t>７月</t>
  </si>
  <si>
    <t>８月</t>
  </si>
  <si>
    <t>９月</t>
  </si>
  <si>
    <t>１０月</t>
  </si>
  <si>
    <t>１１月</t>
  </si>
  <si>
    <t>１２月</t>
  </si>
  <si>
    <t>１月</t>
  </si>
  <si>
    <t>２月</t>
  </si>
  <si>
    <t>３月</t>
  </si>
  <si>
    <t>平等割判定</t>
    <rPh sb="0" eb="2">
      <t>ビョウドウ</t>
    </rPh>
    <rPh sb="2" eb="3">
      <t>ワリ</t>
    </rPh>
    <rPh sb="3" eb="5">
      <t>ハンテイ</t>
    </rPh>
    <phoneticPr fontId="2"/>
  </si>
  <si>
    <t>平等割判定（介護）</t>
    <rPh sb="0" eb="2">
      <t>ビョウドウ</t>
    </rPh>
    <rPh sb="2" eb="3">
      <t>ワリ</t>
    </rPh>
    <rPh sb="3" eb="5">
      <t>ハンテイ</t>
    </rPh>
    <rPh sb="6" eb="8">
      <t>カイゴ</t>
    </rPh>
    <phoneticPr fontId="2"/>
  </si>
  <si>
    <t>非自発的失業者
（離職理由コード）</t>
    <rPh sb="0" eb="1">
      <t>ヒ</t>
    </rPh>
    <rPh sb="1" eb="3">
      <t>ジハツ</t>
    </rPh>
    <rPh sb="3" eb="4">
      <t>テキ</t>
    </rPh>
    <rPh sb="4" eb="6">
      <t>シツギョウ</t>
    </rPh>
    <rPh sb="6" eb="7">
      <t>シャ</t>
    </rPh>
    <rPh sb="9" eb="11">
      <t>リショク</t>
    </rPh>
    <rPh sb="11" eb="13">
      <t>リユウ</t>
    </rPh>
    <phoneticPr fontId="2"/>
  </si>
  <si>
    <t>②世帯員の収入状況を入力してください</t>
    <rPh sb="1" eb="3">
      <t>セタイ</t>
    </rPh>
    <rPh sb="3" eb="4">
      <t>イン</t>
    </rPh>
    <rPh sb="5" eb="7">
      <t>シュウニュウ</t>
    </rPh>
    <rPh sb="7" eb="9">
      <t>ジョウキョウ</t>
    </rPh>
    <rPh sb="10" eb="12">
      <t>ニュウリョク</t>
    </rPh>
    <phoneticPr fontId="2"/>
  </si>
  <si>
    <t>　試算結果は、端数調整などにより、実際の保険料と異なる場合があります。世帯主及び加入者で未申告の方がいる場合、保険料の軽減が正しく計算できず、実際の保険料と異なる場合があります。</t>
    <rPh sb="1" eb="3">
      <t>シサン</t>
    </rPh>
    <rPh sb="3" eb="5">
      <t>ケッカ</t>
    </rPh>
    <rPh sb="7" eb="9">
      <t>ハスウ</t>
    </rPh>
    <rPh sb="9" eb="11">
      <t>チョウセイ</t>
    </rPh>
    <rPh sb="17" eb="19">
      <t>ジッサイ</t>
    </rPh>
    <rPh sb="18" eb="19">
      <t>ケツジツ</t>
    </rPh>
    <rPh sb="20" eb="23">
      <t>ホケンリョウ</t>
    </rPh>
    <rPh sb="24" eb="25">
      <t>コト</t>
    </rPh>
    <rPh sb="27" eb="29">
      <t>バアイ</t>
    </rPh>
    <rPh sb="62" eb="63">
      <t>タダ</t>
    </rPh>
    <rPh sb="65" eb="67">
      <t>ケイサン</t>
    </rPh>
    <phoneticPr fontId="2"/>
  </si>
  <si>
    <r>
      <t xml:space="preserve">事業所得
</t>
    </r>
    <r>
      <rPr>
        <sz val="10"/>
        <color theme="1"/>
        <rFont val="游ゴシック"/>
        <family val="3"/>
        <charset val="128"/>
        <scheme val="minor"/>
      </rPr>
      <t>（営業・不動産・農業など）</t>
    </r>
    <rPh sb="0" eb="2">
      <t>ジギョウ</t>
    </rPh>
    <rPh sb="2" eb="4">
      <t>ショトク</t>
    </rPh>
    <rPh sb="6" eb="8">
      <t>エイギョウ</t>
    </rPh>
    <rPh sb="9" eb="12">
      <t>フドウサン</t>
    </rPh>
    <rPh sb="13" eb="15">
      <t>ノウギョウ</t>
    </rPh>
    <phoneticPr fontId="2"/>
  </si>
  <si>
    <r>
      <t xml:space="preserve">その他所得
</t>
    </r>
    <r>
      <rPr>
        <sz val="10"/>
        <color theme="1"/>
        <rFont val="游ゴシック"/>
        <family val="3"/>
        <charset val="128"/>
        <scheme val="minor"/>
      </rPr>
      <t>（雑所得・一時所得など）</t>
    </r>
    <rPh sb="2" eb="3">
      <t>タ</t>
    </rPh>
    <rPh sb="3" eb="5">
      <t>ショトク</t>
    </rPh>
    <rPh sb="7" eb="8">
      <t>ザツ</t>
    </rPh>
    <rPh sb="8" eb="10">
      <t>ショトク</t>
    </rPh>
    <rPh sb="11" eb="13">
      <t>イチジ</t>
    </rPh>
    <rPh sb="13" eb="15">
      <t>ショトク</t>
    </rPh>
    <phoneticPr fontId="2"/>
  </si>
  <si>
    <t>加入者数</t>
    <rPh sb="0" eb="3">
      <t>カニュウシャ</t>
    </rPh>
    <rPh sb="3" eb="4">
      <t>スウ</t>
    </rPh>
    <phoneticPr fontId="2"/>
  </si>
  <si>
    <t>介護分(40～64歳)</t>
    <rPh sb="0" eb="2">
      <t>カイゴ</t>
    </rPh>
    <rPh sb="2" eb="3">
      <t>ブン</t>
    </rPh>
    <rPh sb="9" eb="10">
      <t>サイ</t>
    </rPh>
    <phoneticPr fontId="2"/>
  </si>
  <si>
    <t>後期支援金分</t>
    <rPh sb="0" eb="2">
      <t>コウキ</t>
    </rPh>
    <rPh sb="2" eb="5">
      <t>シエンキン</t>
    </rPh>
    <rPh sb="5" eb="6">
      <t>ブン</t>
    </rPh>
    <phoneticPr fontId="2"/>
  </si>
  <si>
    <t>※年間保険料は、4月から翌年3月までの保険料の試算額です。</t>
    <rPh sb="1" eb="3">
      <t>ネンカン</t>
    </rPh>
    <rPh sb="3" eb="6">
      <t>ホケンリョウ</t>
    </rPh>
    <rPh sb="9" eb="10">
      <t>ツキ</t>
    </rPh>
    <rPh sb="12" eb="14">
      <t>ヨクネン</t>
    </rPh>
    <rPh sb="15" eb="16">
      <t>ツキ</t>
    </rPh>
    <rPh sb="19" eb="22">
      <t>ホケンリョウ</t>
    </rPh>
    <rPh sb="23" eb="25">
      <t>シサン</t>
    </rPh>
    <rPh sb="25" eb="26">
      <t>ガク</t>
    </rPh>
    <phoneticPr fontId="2"/>
  </si>
  <si>
    <t>加入
月数</t>
    <rPh sb="0" eb="2">
      <t>カニュウ</t>
    </rPh>
    <rPh sb="3" eb="5">
      <t>ツキスウ</t>
    </rPh>
    <phoneticPr fontId="2"/>
  </si>
  <si>
    <t>生年
月日</t>
    <rPh sb="0" eb="2">
      <t>セイネン</t>
    </rPh>
    <rPh sb="3" eb="5">
      <t>ガッピ</t>
    </rPh>
    <phoneticPr fontId="2"/>
  </si>
  <si>
    <t>中之条町国民健康保険税の試算結果</t>
    <rPh sb="0" eb="4">
      <t>ナカノジョウマチ</t>
    </rPh>
    <rPh sb="4" eb="6">
      <t>コクミン</t>
    </rPh>
    <rPh sb="6" eb="8">
      <t>ケンコウ</t>
    </rPh>
    <rPh sb="8" eb="10">
      <t>ホケン</t>
    </rPh>
    <rPh sb="10" eb="11">
      <t>ゼイ</t>
    </rPh>
    <rPh sb="12" eb="14">
      <t>シサン</t>
    </rPh>
    <rPh sb="14" eb="16">
      <t>ケッカ</t>
    </rPh>
    <phoneticPr fontId="2"/>
  </si>
  <si>
    <t>中之条町国民健康保険税の試算</t>
    <rPh sb="0" eb="4">
      <t>ナカノジョウマチ</t>
    </rPh>
    <rPh sb="4" eb="6">
      <t>コクミン</t>
    </rPh>
    <rPh sb="6" eb="8">
      <t>ケンコウ</t>
    </rPh>
    <rPh sb="8" eb="10">
      <t>ホケン</t>
    </rPh>
    <rPh sb="10" eb="11">
      <t>ゼイ</t>
    </rPh>
    <rPh sb="12" eb="14">
      <t>シサン</t>
    </rPh>
    <phoneticPr fontId="2"/>
  </si>
  <si>
    <r>
      <t>①世帯主及び世帯内の国保健康保険加入者と後期高齢者医療保険加入者の基本情報と</t>
    </r>
    <r>
      <rPr>
        <b/>
        <sz val="14"/>
        <color rgb="FFFF0000"/>
        <rFont val="游ゴシック"/>
        <family val="3"/>
        <charset val="128"/>
        <scheme val="minor"/>
      </rPr>
      <t>４月１日</t>
    </r>
    <r>
      <rPr>
        <sz val="14"/>
        <color theme="1"/>
        <rFont val="游ゴシック"/>
        <family val="3"/>
        <charset val="128"/>
        <scheme val="minor"/>
      </rPr>
      <t>と</t>
    </r>
    <r>
      <rPr>
        <b/>
        <sz val="14"/>
        <color rgb="FFFF0000"/>
        <rFont val="游ゴシック"/>
        <family val="3"/>
        <charset val="128"/>
        <scheme val="minor"/>
      </rPr>
      <t>各月の月末日</t>
    </r>
    <r>
      <rPr>
        <sz val="14"/>
        <rFont val="游ゴシック"/>
        <family val="3"/>
        <charset val="128"/>
        <scheme val="minor"/>
      </rPr>
      <t>の</t>
    </r>
    <r>
      <rPr>
        <sz val="14"/>
        <color theme="1"/>
        <rFont val="游ゴシック"/>
        <family val="3"/>
        <charset val="128"/>
        <scheme val="minor"/>
      </rPr>
      <t>加入状況を入力してください。</t>
    </r>
    <phoneticPr fontId="2"/>
  </si>
  <si>
    <t>軽減判定人数</t>
    <rPh sb="0" eb="2">
      <t>ケイゲン</t>
    </rPh>
    <rPh sb="2" eb="4">
      <t>ハンテイ</t>
    </rPh>
    <rPh sb="4" eb="6">
      <t>ニンズウ</t>
    </rPh>
    <phoneticPr fontId="2"/>
  </si>
  <si>
    <t>途中
加入</t>
    <rPh sb="0" eb="2">
      <t>トチュウ</t>
    </rPh>
    <rPh sb="3" eb="5">
      <t>カニュウ</t>
    </rPh>
    <phoneticPr fontId="2"/>
  </si>
  <si>
    <t>給与所得
（軽減判定用）</t>
    <rPh sb="0" eb="2">
      <t>キュウヨ</t>
    </rPh>
    <rPh sb="2" eb="4">
      <t>ショトク</t>
    </rPh>
    <rPh sb="6" eb="8">
      <t>ケイゲン</t>
    </rPh>
    <rPh sb="8" eb="10">
      <t>ハンテイ</t>
    </rPh>
    <rPh sb="10" eb="11">
      <t>ヨウ</t>
    </rPh>
    <rPh sb="11" eb="12">
      <t>ショヨウ</t>
    </rPh>
    <phoneticPr fontId="2"/>
  </si>
  <si>
    <t>年金所得
（所得割用）</t>
    <rPh sb="0" eb="2">
      <t>ネンキン</t>
    </rPh>
    <rPh sb="2" eb="4">
      <t>ショトク</t>
    </rPh>
    <rPh sb="6" eb="8">
      <t>ショトク</t>
    </rPh>
    <rPh sb="8" eb="10">
      <t>ワリヨウ</t>
    </rPh>
    <phoneticPr fontId="2"/>
  </si>
  <si>
    <t>所得金額調整控除
（所得割用）</t>
    <rPh sb="0" eb="2">
      <t>ショトク</t>
    </rPh>
    <rPh sb="2" eb="4">
      <t>キンガク</t>
    </rPh>
    <rPh sb="4" eb="6">
      <t>チョウセイ</t>
    </rPh>
    <rPh sb="6" eb="8">
      <t>コウジョ</t>
    </rPh>
    <rPh sb="10" eb="12">
      <t>ショトク</t>
    </rPh>
    <rPh sb="12" eb="13">
      <t>ワリ</t>
    </rPh>
    <rPh sb="13" eb="14">
      <t>ヨウ</t>
    </rPh>
    <phoneticPr fontId="2"/>
  </si>
  <si>
    <t>所得金額調整控除
（軽減判定用）</t>
    <rPh sb="0" eb="2">
      <t>ショトク</t>
    </rPh>
    <rPh sb="2" eb="4">
      <t>キンガク</t>
    </rPh>
    <rPh sb="4" eb="6">
      <t>チョウセイ</t>
    </rPh>
    <rPh sb="6" eb="8">
      <t>コウジョ</t>
    </rPh>
    <rPh sb="10" eb="12">
      <t>ケイゲン</t>
    </rPh>
    <rPh sb="12" eb="15">
      <t>ハンテイヨウ</t>
    </rPh>
    <phoneticPr fontId="2"/>
  </si>
  <si>
    <t>年金所得
（軽減判定用）</t>
    <rPh sb="0" eb="2">
      <t>ネンキン</t>
    </rPh>
    <rPh sb="2" eb="4">
      <t>ショトク</t>
    </rPh>
    <rPh sb="6" eb="8">
      <t>ケイゲン</t>
    </rPh>
    <rPh sb="8" eb="10">
      <t>ハンテイ</t>
    </rPh>
    <rPh sb="10" eb="11">
      <t>ヨウ</t>
    </rPh>
    <rPh sb="11" eb="12">
      <t>ショヨウ</t>
    </rPh>
    <phoneticPr fontId="2"/>
  </si>
  <si>
    <t>給与収入
（軽減判定用）</t>
    <rPh sb="0" eb="2">
      <t>キュウヨ</t>
    </rPh>
    <rPh sb="2" eb="4">
      <t>シュウニュウ</t>
    </rPh>
    <rPh sb="6" eb="8">
      <t>ケイゲン</t>
    </rPh>
    <rPh sb="8" eb="10">
      <t>ハンテイ</t>
    </rPh>
    <rPh sb="10" eb="11">
      <t>ヨウ</t>
    </rPh>
    <phoneticPr fontId="2"/>
  </si>
  <si>
    <t>給与収入</t>
    <rPh sb="0" eb="2">
      <t>キュウヨ</t>
    </rPh>
    <rPh sb="2" eb="4">
      <t>シュウニュウ</t>
    </rPh>
    <phoneticPr fontId="2"/>
  </si>
  <si>
    <t>※支払いは7月から翌年２月までの８期に分けて支払いとなります。</t>
    <rPh sb="19" eb="20">
      <t>ワ</t>
    </rPh>
    <phoneticPr fontId="2"/>
  </si>
  <si>
    <t>内、事業専従者控除額</t>
    <rPh sb="0" eb="1">
      <t>ウチ</t>
    </rPh>
    <rPh sb="2" eb="4">
      <t>ジギョウ</t>
    </rPh>
    <rPh sb="4" eb="7">
      <t>センジュウシャ</t>
    </rPh>
    <rPh sb="7" eb="9">
      <t>コウジョ</t>
    </rPh>
    <rPh sb="9" eb="10">
      <t>ガク</t>
    </rPh>
    <phoneticPr fontId="2"/>
  </si>
  <si>
    <t>中之条　一郎</t>
    <rPh sb="0" eb="3">
      <t>ナカノジョウ</t>
    </rPh>
    <rPh sb="4" eb="6">
      <t>イチロウ</t>
    </rPh>
    <phoneticPr fontId="2"/>
  </si>
  <si>
    <t>国保</t>
  </si>
  <si>
    <t>（特）後期</t>
  </si>
  <si>
    <t>子ども分</t>
    <rPh sb="0" eb="1">
      <t>コ</t>
    </rPh>
    <rPh sb="3" eb="4">
      <t>ブン</t>
    </rPh>
    <phoneticPr fontId="2"/>
  </si>
  <si>
    <t>こども分</t>
    <rPh sb="3" eb="4">
      <t>ブン</t>
    </rPh>
    <phoneticPr fontId="2"/>
  </si>
  <si>
    <t>上段:医療・支援／中段:介護／下段：子ども</t>
    <rPh sb="9" eb="10">
      <t>ナカ</t>
    </rPh>
    <rPh sb="15" eb="17">
      <t>ゲダン</t>
    </rPh>
    <rPh sb="18" eb="19">
      <t>コ</t>
    </rPh>
    <phoneticPr fontId="2"/>
  </si>
  <si>
    <t>平等割額合計</t>
    <rPh sb="0" eb="3">
      <t>ビョウドウワリ</t>
    </rPh>
    <rPh sb="3" eb="4">
      <t>ガク</t>
    </rPh>
    <rPh sb="4" eb="6">
      <t>ゴウケイ</t>
    </rPh>
    <phoneticPr fontId="2"/>
  </si>
  <si>
    <t>中之条　花子</t>
    <rPh sb="0" eb="3">
      <t>ナカノジョウ</t>
    </rPh>
    <rPh sb="4" eb="6">
      <t>ハナコ</t>
    </rPh>
    <phoneticPr fontId="2"/>
  </si>
  <si>
    <t>中之条　松子</t>
    <rPh sb="0" eb="3">
      <t>ナカノジョウ</t>
    </rPh>
    <rPh sb="4" eb="6">
      <t>マツコ</t>
    </rPh>
    <phoneticPr fontId="2"/>
  </si>
  <si>
    <t>中之条　太郎</t>
    <rPh sb="0" eb="3">
      <t>ナカノジョウ</t>
    </rPh>
    <rPh sb="4" eb="6">
      <t>タロウ</t>
    </rPh>
    <phoneticPr fontId="2"/>
  </si>
  <si>
    <t>合計※1</t>
    <rPh sb="0" eb="2">
      <t>ゴウケイ</t>
    </rPh>
    <phoneticPr fontId="2"/>
  </si>
  <si>
    <t>※１：合計は所得割額と均等割額の合算であり、平等割は年間保険料の試算結果にて反映させている。</t>
    <rPh sb="3" eb="5">
      <t>ゴウケイ</t>
    </rPh>
    <rPh sb="6" eb="8">
      <t>ショトク</t>
    </rPh>
    <rPh sb="8" eb="9">
      <t>ワリ</t>
    </rPh>
    <rPh sb="9" eb="10">
      <t>ガク</t>
    </rPh>
    <rPh sb="11" eb="14">
      <t>キントウワリ</t>
    </rPh>
    <rPh sb="14" eb="15">
      <t>ガク</t>
    </rPh>
    <rPh sb="16" eb="18">
      <t>ガッサン</t>
    </rPh>
    <rPh sb="22" eb="24">
      <t>ビョウドウ</t>
    </rPh>
    <rPh sb="24" eb="25">
      <t>ワリ</t>
    </rPh>
    <rPh sb="26" eb="28">
      <t>ネンカン</t>
    </rPh>
    <rPh sb="28" eb="31">
      <t>ホケンリョウ</t>
    </rPh>
    <rPh sb="32" eb="34">
      <t>シサン</t>
    </rPh>
    <rPh sb="34" eb="36">
      <t>ケッカ</t>
    </rPh>
    <rPh sb="38" eb="40">
      <t>ハンエイ</t>
    </rPh>
    <phoneticPr fontId="2"/>
  </si>
  <si>
    <t>※子ども分均等割額は18歳以上均等割額を合算しています。</t>
    <rPh sb="1" eb="2">
      <t>コ</t>
    </rPh>
    <rPh sb="4" eb="5">
      <t>ブン</t>
    </rPh>
    <rPh sb="5" eb="9">
      <t>キントウワリガク</t>
    </rPh>
    <rPh sb="12" eb="13">
      <t>サイ</t>
    </rPh>
    <rPh sb="13" eb="15">
      <t>イジョウ</t>
    </rPh>
    <rPh sb="15" eb="19">
      <t>キントウワリガク</t>
    </rPh>
    <rPh sb="20" eb="22">
      <t>ガッサン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</si>
</sst>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円&quot;"/>
    <numFmt numFmtId="177" formatCode="0&quot;歳&quot;"/>
    <numFmt numFmtId="178" formatCode="0&quot;人&quot;"/>
    <numFmt numFmtId="179" formatCode="0&quot;割&quot;"/>
    <numFmt numFmtId="180" formatCode="[$-411]ge\.m\.d;@"/>
    <numFmt numFmtId="181" formatCode="&quot;令和&quot;##&quot;年度&quot;"/>
    <numFmt numFmtId="182" formatCode="[$-411]ggge&quot;年&quot;m&quot;月&quot;d&quot;日&quot;;@"/>
    <numFmt numFmtId="183" formatCode="yyyy/m/d;@"/>
    <numFmt numFmtId="184" formatCode="m/d;@"/>
    <numFmt numFmtId="185" formatCode="##&quot;年度&quot;"/>
    <numFmt numFmtId="186" formatCode="[$-F800]dddd\,\ mmmm\ dd\,\ yyyy"/>
  </numFmts>
  <fonts count="23"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8"/>
      <color theme="1"/>
      <name val="游ゴシック"/>
      <family val="3"/>
      <charset val="128"/>
      <scheme val="minor"/>
    </font>
    <font>
      <sz val="10"/>
      <color theme="1"/>
      <name val="游ゴシック"/>
      <family val="3"/>
      <charset val="128"/>
      <scheme val="minor"/>
    </font>
    <font>
      <b/>
      <sz val="10"/>
      <color theme="1"/>
      <name val="游ゴシック"/>
      <family val="3"/>
      <charset val="128"/>
      <scheme val="minor"/>
    </font>
    <font>
      <b/>
      <sz val="16"/>
      <color theme="1"/>
      <name val="游ゴシック"/>
      <family val="3"/>
      <charset val="128"/>
      <scheme val="minor"/>
    </font>
    <font>
      <sz val="14"/>
      <color theme="1"/>
      <name val="游ゴシック"/>
      <family val="3"/>
      <charset val="128"/>
      <scheme val="minor"/>
    </font>
    <font>
      <sz val="22"/>
      <color theme="1"/>
      <name val="HGPｺﾞｼｯｸE"/>
      <family val="3"/>
      <charset val="128"/>
    </font>
    <font>
      <sz val="11"/>
      <color theme="1"/>
      <name val="游ゴシック"/>
      <family val="3"/>
      <charset val="128"/>
      <scheme val="minor"/>
    </font>
    <font>
      <sz val="12"/>
      <color theme="1"/>
      <name val="游ゴシック"/>
      <family val="3"/>
      <charset val="128"/>
      <scheme val="minor"/>
    </font>
    <font>
      <sz val="10"/>
      <name val="游ゴシック"/>
      <family val="3"/>
      <charset val="128"/>
      <scheme val="minor"/>
    </font>
    <font>
      <sz val="9"/>
      <color theme="1"/>
      <name val="游ゴシック"/>
      <family val="3"/>
      <charset val="128"/>
      <scheme val="minor"/>
    </font>
    <font>
      <b/>
      <sz val="14"/>
      <color theme="1"/>
      <name val="游ゴシック"/>
      <family val="3"/>
      <charset val="128"/>
      <scheme val="minor"/>
    </font>
    <font>
      <sz val="14"/>
      <name val="游ゴシック"/>
      <family val="3"/>
      <charset val="128"/>
      <scheme val="minor"/>
    </font>
    <font>
      <b/>
      <sz val="14"/>
      <color rgb="FFFF0000"/>
      <name val="游ゴシック"/>
      <family val="3"/>
      <charset val="128"/>
      <scheme val="minor"/>
    </font>
    <font>
      <b/>
      <sz val="28"/>
      <color theme="1"/>
      <name val="游ゴシック"/>
      <family val="3"/>
      <charset val="128"/>
      <scheme val="minor"/>
    </font>
    <font>
      <b/>
      <sz val="22"/>
      <color theme="1"/>
      <name val="游ゴシック"/>
      <family val="3"/>
      <charset val="128"/>
      <scheme val="minor"/>
    </font>
    <font>
      <sz val="16"/>
      <color theme="1"/>
      <name val="游ゴシック"/>
      <family val="3"/>
      <charset val="128"/>
      <scheme val="minor"/>
    </font>
    <font>
      <b/>
      <sz val="20"/>
      <name val="游ゴシック"/>
      <family val="3"/>
      <charset val="128"/>
      <scheme val="minor"/>
    </font>
    <font>
      <b/>
      <sz val="20"/>
      <color theme="1"/>
      <name val="游ゴシック"/>
      <family val="3"/>
      <charset val="128"/>
      <scheme val="minor"/>
    </font>
    <font>
      <b/>
      <sz val="11"/>
      <color theme="1"/>
      <name val="游ゴシック"/>
      <family val="3"/>
      <charset val="128"/>
      <scheme val="minor"/>
    </font>
    <font>
      <b/>
      <sz val="18"/>
      <color theme="1"/>
      <name val="游ゴシック"/>
      <family val="3"/>
      <charset val="128"/>
      <scheme val="minor"/>
    </font>
  </fonts>
  <fills count="6">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s>
  <borders count="101">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right/>
      <top style="medium">
        <color indexed="64"/>
      </top>
      <bottom style="double">
        <color indexed="64"/>
      </bottom>
      <diagonal/>
    </border>
    <border>
      <left/>
      <right/>
      <top style="medium">
        <color indexed="64"/>
      </top>
      <bottom/>
      <diagonal/>
    </border>
    <border>
      <left/>
      <right style="thin">
        <color indexed="64"/>
      </right>
      <top/>
      <bottom/>
      <diagonal/>
    </border>
    <border>
      <left style="thin">
        <color indexed="64"/>
      </left>
      <right/>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thin">
        <color indexed="64"/>
      </top>
      <bottom/>
      <diagonal/>
    </border>
    <border>
      <left/>
      <right style="medium">
        <color indexed="64"/>
      </right>
      <top style="thin">
        <color indexed="64"/>
      </top>
      <bottom style="thin">
        <color indexed="64"/>
      </bottom>
      <diagonal/>
    </border>
    <border>
      <left style="thin">
        <color indexed="64"/>
      </left>
      <right/>
      <top style="double">
        <color indexed="64"/>
      </top>
      <bottom style="thin">
        <color indexed="64"/>
      </bottom>
      <diagonal/>
    </border>
    <border>
      <left/>
      <right style="medium">
        <color indexed="64"/>
      </right>
      <top style="medium">
        <color indexed="64"/>
      </top>
      <bottom style="double">
        <color indexed="64"/>
      </bottom>
      <diagonal/>
    </border>
    <border>
      <left/>
      <right/>
      <top style="double">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ck">
        <color rgb="FFFF0000"/>
      </right>
      <top style="thick">
        <color rgb="FFFF0000"/>
      </top>
      <bottom style="double">
        <color indexed="64"/>
      </bottom>
      <diagonal/>
    </border>
    <border>
      <left/>
      <right style="thick">
        <color rgb="FFFF0000"/>
      </right>
      <top style="double">
        <color indexed="64"/>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ck">
        <color rgb="FFFF0000"/>
      </right>
      <top style="thick">
        <color rgb="FFFF0000"/>
      </top>
      <bottom/>
      <diagonal/>
    </border>
    <border diagonalUp="1">
      <left style="thick">
        <color rgb="FFFF0000"/>
      </left>
      <right style="thick">
        <color rgb="FFFF0000"/>
      </right>
      <top style="double">
        <color indexed="64"/>
      </top>
      <bottom style="thin">
        <color indexed="64"/>
      </bottom>
      <diagonal style="thin">
        <color indexed="64"/>
      </diagonal>
    </border>
    <border>
      <left style="thick">
        <color rgb="FFFF0000"/>
      </left>
      <right style="thick">
        <color rgb="FFFF0000"/>
      </right>
      <top style="thin">
        <color indexed="64"/>
      </top>
      <bottom/>
      <diagonal/>
    </border>
    <border>
      <left style="thick">
        <color rgb="FFFF0000"/>
      </left>
      <right style="thick">
        <color rgb="FFFF0000"/>
      </right>
      <top style="thin">
        <color indexed="64"/>
      </top>
      <bottom style="thin">
        <color indexed="64"/>
      </bottom>
      <diagonal/>
    </border>
    <border>
      <left style="thick">
        <color rgb="FFFF0000"/>
      </left>
      <right style="thick">
        <color rgb="FFFF0000"/>
      </right>
      <top/>
      <bottom style="thin">
        <color indexed="64"/>
      </bottom>
      <diagonal/>
    </border>
    <border>
      <left/>
      <right/>
      <top style="thick">
        <color rgb="FFFF0000"/>
      </top>
      <bottom style="double">
        <color indexed="64"/>
      </bottom>
      <diagonal/>
    </border>
    <border>
      <left style="thick">
        <color rgb="FFFF0000"/>
      </left>
      <right style="thin">
        <color indexed="64"/>
      </right>
      <top style="thick">
        <color rgb="FFFF0000"/>
      </top>
      <bottom style="double">
        <color indexed="64"/>
      </bottom>
      <diagonal/>
    </border>
    <border>
      <left style="thin">
        <color indexed="64"/>
      </left>
      <right style="thin">
        <color indexed="64"/>
      </right>
      <top style="thick">
        <color rgb="FFFF0000"/>
      </top>
      <bottom style="double">
        <color indexed="64"/>
      </bottom>
      <diagonal/>
    </border>
    <border>
      <left style="thin">
        <color indexed="64"/>
      </left>
      <right/>
      <top style="thick">
        <color rgb="FFFF0000"/>
      </top>
      <bottom style="double">
        <color indexed="64"/>
      </bottom>
      <diagonal/>
    </border>
    <border>
      <left style="thick">
        <color rgb="FFFF0000"/>
      </left>
      <right style="thin">
        <color indexed="64"/>
      </right>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style="thick">
        <color rgb="FFFF0000"/>
      </right>
      <top style="thick">
        <color rgb="FFFF0000"/>
      </top>
      <bottom style="double">
        <color indexed="64"/>
      </bottom>
      <diagonal/>
    </border>
    <border>
      <left style="thin">
        <color indexed="64"/>
      </left>
      <right style="thick">
        <color rgb="FFFF0000"/>
      </right>
      <top/>
      <bottom style="thin">
        <color indexed="64"/>
      </bottom>
      <diagonal/>
    </border>
    <border>
      <left style="thin">
        <color indexed="64"/>
      </left>
      <right style="thick">
        <color rgb="FFFF0000"/>
      </right>
      <top style="thin">
        <color indexed="64"/>
      </top>
      <bottom style="thick">
        <color rgb="FFFF0000"/>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ck">
        <color rgb="FFFF0000"/>
      </top>
      <bottom style="thin">
        <color indexed="64"/>
      </bottom>
      <diagonal/>
    </border>
    <border>
      <left/>
      <right style="thin">
        <color indexed="64"/>
      </right>
      <top style="thick">
        <color rgb="FFFF0000"/>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style="double">
        <color indexed="64"/>
      </top>
      <bottom style="thin">
        <color indexed="64"/>
      </bottom>
      <diagonal/>
    </border>
    <border>
      <left/>
      <right style="medium">
        <color indexed="64"/>
      </right>
      <top style="thin">
        <color indexed="64"/>
      </top>
      <bottom/>
      <diagonal/>
    </border>
    <border>
      <left style="thick">
        <color rgb="FFFF0000"/>
      </left>
      <right style="thick">
        <color rgb="FFFF0000"/>
      </right>
      <top/>
      <bottom/>
      <diagonal/>
    </border>
    <border>
      <left/>
      <right style="thick">
        <color rgb="FFFF0000"/>
      </right>
      <top style="thin">
        <color indexed="64"/>
      </top>
      <bottom/>
      <diagonal/>
    </border>
    <border>
      <left style="thick">
        <color rgb="FFFF0000"/>
      </left>
      <right style="thick">
        <color rgb="FFFF0000"/>
      </right>
      <top style="thin">
        <color indexed="64"/>
      </top>
      <bottom style="thick">
        <color rgb="FFFF0000"/>
      </bottom>
      <diagonal/>
    </border>
    <border>
      <left/>
      <right style="thin">
        <color indexed="64"/>
      </right>
      <top style="thin">
        <color indexed="64"/>
      </top>
      <bottom style="thick">
        <color rgb="FFFF0000"/>
      </bottom>
      <diagonal/>
    </border>
    <border>
      <left/>
      <right style="medium">
        <color indexed="64"/>
      </right>
      <top style="double">
        <color indexed="64"/>
      </top>
      <bottom/>
      <diagonal/>
    </border>
    <border>
      <left/>
      <right style="medium">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425">
    <xf numFmtId="0" fontId="0" fillId="0" borderId="0" xfId="0">
      <alignment vertical="center"/>
    </xf>
    <xf numFmtId="0" fontId="4" fillId="0" borderId="0" xfId="0" applyFont="1">
      <alignment vertical="center"/>
    </xf>
    <xf numFmtId="181" fontId="4" fillId="0" borderId="0" xfId="0" applyNumberFormat="1" applyFont="1" applyAlignment="1">
      <alignment vertical="top"/>
    </xf>
    <xf numFmtId="181" fontId="4" fillId="0" borderId="0" xfId="0" applyNumberFormat="1" applyFont="1" applyAlignment="1">
      <alignment horizontal="center" vertical="top"/>
    </xf>
    <xf numFmtId="0" fontId="5" fillId="0" borderId="0" xfId="0" applyFont="1" applyAlignment="1">
      <alignment horizontal="center" vertical="center"/>
    </xf>
    <xf numFmtId="0" fontId="4" fillId="0" borderId="0" xfId="0" applyFont="1" applyAlignment="1">
      <alignment horizontal="center" vertical="center"/>
    </xf>
    <xf numFmtId="10" fontId="4" fillId="0" borderId="0" xfId="0" applyNumberFormat="1" applyFont="1" applyAlignment="1">
      <alignment horizontal="center" vertical="center"/>
    </xf>
    <xf numFmtId="176" fontId="4" fillId="0" borderId="0" xfId="0" applyNumberFormat="1" applyFont="1" applyAlignment="1">
      <alignment horizontal="center" vertical="center"/>
    </xf>
    <xf numFmtId="180" fontId="4" fillId="0" borderId="0" xfId="0" applyNumberFormat="1" applyFont="1" applyAlignment="1">
      <alignment horizontal="center" vertical="center"/>
    </xf>
    <xf numFmtId="176" fontId="4" fillId="0" borderId="0" xfId="0" applyNumberFormat="1" applyFont="1">
      <alignment vertical="center"/>
    </xf>
    <xf numFmtId="176" fontId="5" fillId="0" borderId="0" xfId="0" applyNumberFormat="1" applyFont="1" applyAlignment="1">
      <alignment horizontal="right" vertical="center"/>
    </xf>
    <xf numFmtId="0" fontId="7" fillId="0" borderId="0" xfId="0" applyFont="1">
      <alignment vertical="center"/>
    </xf>
    <xf numFmtId="176" fontId="6" fillId="0" borderId="0" xfId="0" applyNumberFormat="1" applyFont="1" applyAlignment="1" applyProtection="1">
      <alignment horizontal="center" vertical="center"/>
      <protection hidden="1"/>
    </xf>
    <xf numFmtId="0" fontId="11" fillId="0" borderId="0" xfId="0" applyFont="1" applyAlignment="1">
      <alignment horizontal="center" vertical="center" wrapText="1"/>
    </xf>
    <xf numFmtId="182" fontId="4" fillId="0" borderId="0" xfId="0" applyNumberFormat="1" applyFont="1" applyAlignment="1">
      <alignment horizontal="center" vertical="center"/>
    </xf>
    <xf numFmtId="0" fontId="4" fillId="0" borderId="0" xfId="0" applyFont="1" applyAlignment="1">
      <alignment horizontal="center" vertical="center" shrinkToFit="1"/>
    </xf>
    <xf numFmtId="176" fontId="4" fillId="0" borderId="0" xfId="0" applyNumberFormat="1" applyFont="1" applyAlignment="1">
      <alignment horizontal="center" vertical="center" shrinkToFit="1"/>
    </xf>
    <xf numFmtId="177" fontId="4" fillId="0" borderId="0" xfId="0" applyNumberFormat="1" applyFont="1" applyAlignment="1">
      <alignment horizontal="center" vertical="center"/>
    </xf>
    <xf numFmtId="183" fontId="4" fillId="0" borderId="0" xfId="0" applyNumberFormat="1" applyFont="1">
      <alignment vertical="center"/>
    </xf>
    <xf numFmtId="186" fontId="4" fillId="0" borderId="0" xfId="0" applyNumberFormat="1" applyFont="1" applyAlignment="1">
      <alignment horizontal="center" vertical="center"/>
    </xf>
    <xf numFmtId="0" fontId="12" fillId="0" borderId="0" xfId="0" applyFont="1" applyAlignment="1">
      <alignment horizontal="center" vertical="center" shrinkToFit="1"/>
    </xf>
    <xf numFmtId="0" fontId="4" fillId="0" borderId="15" xfId="0" applyFont="1" applyBorder="1" applyAlignment="1">
      <alignment horizontal="center" vertical="center"/>
    </xf>
    <xf numFmtId="0" fontId="4" fillId="0" borderId="29" xfId="0" applyFont="1" applyBorder="1" applyAlignment="1">
      <alignment horizontal="center" vertical="center"/>
    </xf>
    <xf numFmtId="184" fontId="4" fillId="0" borderId="31" xfId="0" applyNumberFormat="1" applyFont="1" applyBorder="1" applyAlignment="1">
      <alignment horizontal="center" vertical="center"/>
    </xf>
    <xf numFmtId="184" fontId="4" fillId="0" borderId="33" xfId="0" applyNumberFormat="1" applyFont="1" applyBorder="1" applyAlignment="1">
      <alignment horizontal="center" vertical="center"/>
    </xf>
    <xf numFmtId="183" fontId="4" fillId="0" borderId="0" xfId="0" applyNumberFormat="1" applyFont="1" applyAlignment="1">
      <alignment horizontal="center" vertical="center"/>
    </xf>
    <xf numFmtId="0" fontId="4" fillId="0" borderId="16" xfId="0" applyFont="1" applyBorder="1" applyAlignment="1">
      <alignment horizontal="center" vertical="center" shrinkToFit="1"/>
    </xf>
    <xf numFmtId="176" fontId="4" fillId="0" borderId="16" xfId="0" applyNumberFormat="1" applyFont="1" applyBorder="1" applyAlignment="1">
      <alignment horizontal="center" vertical="center" shrinkToFit="1"/>
    </xf>
    <xf numFmtId="177" fontId="4" fillId="0" borderId="16" xfId="0" applyNumberFormat="1" applyFont="1" applyBorder="1" applyAlignment="1">
      <alignment horizontal="center" vertical="center"/>
    </xf>
    <xf numFmtId="0" fontId="4" fillId="0" borderId="16" xfId="0" applyFont="1" applyBorder="1" applyAlignment="1">
      <alignment horizontal="center" vertical="center"/>
    </xf>
    <xf numFmtId="180" fontId="4" fillId="0" borderId="16" xfId="0" applyNumberFormat="1" applyFont="1" applyBorder="1" applyAlignment="1">
      <alignment horizontal="center" vertical="center"/>
    </xf>
    <xf numFmtId="0" fontId="3" fillId="0" borderId="0" xfId="0" applyFont="1" applyAlignment="1">
      <alignment horizontal="center" vertical="center" wrapText="1" shrinkToFit="1"/>
    </xf>
    <xf numFmtId="0" fontId="4" fillId="0" borderId="34" xfId="0" applyFont="1" applyBorder="1" applyAlignment="1">
      <alignment horizontal="center" vertical="center"/>
    </xf>
    <xf numFmtId="176" fontId="4" fillId="0" borderId="15" xfId="0" applyNumberFormat="1" applyFont="1" applyBorder="1" applyAlignment="1">
      <alignment horizontal="center" vertical="center" shrinkToFit="1"/>
    </xf>
    <xf numFmtId="0" fontId="12" fillId="0" borderId="16" xfId="0" applyFont="1" applyBorder="1" applyAlignment="1">
      <alignment horizontal="center" vertical="center" shrinkToFit="1"/>
    </xf>
    <xf numFmtId="0" fontId="4" fillId="0" borderId="15" xfId="0" applyFont="1" applyBorder="1" applyAlignment="1">
      <alignment horizontal="center" vertical="center" wrapText="1" shrinkToFit="1"/>
    </xf>
    <xf numFmtId="0" fontId="4" fillId="0" borderId="16" xfId="0" applyFont="1" applyBorder="1" applyAlignment="1">
      <alignment horizontal="center" vertical="center" wrapText="1" shrinkToFit="1"/>
    </xf>
    <xf numFmtId="0" fontId="4" fillId="0" borderId="34" xfId="0" applyFont="1" applyBorder="1" applyAlignment="1">
      <alignment horizontal="center" vertical="center" wrapText="1" shrinkToFit="1"/>
    </xf>
    <xf numFmtId="0" fontId="12" fillId="0" borderId="28" xfId="0" applyFont="1" applyBorder="1" applyAlignment="1">
      <alignment horizontal="center" vertical="center" shrinkToFit="1"/>
    </xf>
    <xf numFmtId="0" fontId="4" fillId="0" borderId="33" xfId="0" applyFont="1" applyBorder="1">
      <alignment vertical="center"/>
    </xf>
    <xf numFmtId="0" fontId="12" fillId="0" borderId="33" xfId="0" applyFont="1" applyBorder="1" applyAlignment="1">
      <alignment horizontal="center" vertical="center" shrinkToFit="1"/>
    </xf>
    <xf numFmtId="0" fontId="4" fillId="0" borderId="33" xfId="0" applyFont="1" applyBorder="1" applyAlignment="1">
      <alignment horizontal="center" vertical="center" shrinkToFit="1"/>
    </xf>
    <xf numFmtId="0" fontId="4" fillId="0" borderId="33" xfId="0" applyFont="1" applyBorder="1" applyAlignment="1">
      <alignment horizontal="center" vertical="center"/>
    </xf>
    <xf numFmtId="0" fontId="12" fillId="0" borderId="33" xfId="0" applyFont="1" applyBorder="1" applyAlignment="1">
      <alignment horizontal="center" vertical="center" wrapText="1" shrinkToFit="1"/>
    </xf>
    <xf numFmtId="180" fontId="12" fillId="0" borderId="33" xfId="0" applyNumberFormat="1" applyFont="1" applyBorder="1" applyAlignment="1">
      <alignment horizontal="center" vertical="center" shrinkToFit="1"/>
    </xf>
    <xf numFmtId="0" fontId="4" fillId="0" borderId="0" xfId="0" applyFont="1" applyAlignment="1">
      <alignment horizontal="center" vertical="center" wrapText="1" shrinkToFit="1"/>
    </xf>
    <xf numFmtId="185" fontId="13" fillId="0" borderId="0" xfId="0" applyNumberFormat="1" applyFont="1" applyAlignment="1">
      <alignment horizontal="center" vertical="center"/>
    </xf>
    <xf numFmtId="0" fontId="9" fillId="0" borderId="1" xfId="0" applyFont="1" applyBorder="1">
      <alignment vertical="center"/>
    </xf>
    <xf numFmtId="0" fontId="9" fillId="0" borderId="7" xfId="0" applyFont="1" applyBorder="1" applyAlignment="1">
      <alignment horizontal="center" vertical="center"/>
    </xf>
    <xf numFmtId="0" fontId="9" fillId="0" borderId="14" xfId="0" applyFont="1" applyBorder="1" applyAlignment="1">
      <alignment horizontal="center" vertical="center"/>
    </xf>
    <xf numFmtId="0" fontId="9" fillId="0" borderId="20" xfId="0" applyFont="1" applyBorder="1" applyAlignment="1">
      <alignment horizontal="center" vertical="center"/>
    </xf>
    <xf numFmtId="0" fontId="9" fillId="0" borderId="43" xfId="0" applyFont="1" applyBorder="1" applyAlignment="1">
      <alignment vertical="center" shrinkToFit="1"/>
    </xf>
    <xf numFmtId="0" fontId="9" fillId="0" borderId="41" xfId="0" applyFont="1" applyBorder="1" applyAlignment="1">
      <alignment horizontal="center" vertical="center"/>
    </xf>
    <xf numFmtId="0" fontId="9" fillId="0" borderId="39" xfId="0" applyFont="1" applyBorder="1" applyAlignment="1">
      <alignment horizontal="center" vertical="center"/>
    </xf>
    <xf numFmtId="0" fontId="9" fillId="0" borderId="40" xfId="0" applyFont="1" applyBorder="1" applyAlignment="1">
      <alignment horizontal="center" vertical="center"/>
    </xf>
    <xf numFmtId="0" fontId="10" fillId="0" borderId="0" xfId="0" applyFont="1">
      <alignment vertical="center"/>
    </xf>
    <xf numFmtId="176" fontId="10" fillId="0" borderId="0" xfId="0" applyNumberFormat="1" applyFont="1" applyAlignment="1">
      <alignment horizontal="right" vertical="center"/>
    </xf>
    <xf numFmtId="176" fontId="10" fillId="0" borderId="0" xfId="1" applyNumberFormat="1" applyFont="1" applyFill="1" applyBorder="1" applyAlignment="1">
      <alignment horizontal="right" vertical="center"/>
    </xf>
    <xf numFmtId="0" fontId="10" fillId="0" borderId="0" xfId="0" applyFont="1" applyAlignment="1">
      <alignment horizontal="center" vertical="center"/>
    </xf>
    <xf numFmtId="0" fontId="7" fillId="0" borderId="0" xfId="0" applyFont="1" applyAlignment="1">
      <alignment vertical="center" wrapText="1"/>
    </xf>
    <xf numFmtId="0" fontId="10" fillId="0" borderId="39" xfId="0" applyFont="1" applyBorder="1" applyAlignment="1">
      <alignment horizontal="center" vertical="center"/>
    </xf>
    <xf numFmtId="0" fontId="10" fillId="0" borderId="41" xfId="0" applyFont="1" applyBorder="1" applyAlignment="1">
      <alignment horizontal="center" vertical="center"/>
    </xf>
    <xf numFmtId="0" fontId="10" fillId="0" borderId="53" xfId="0" applyFont="1" applyBorder="1">
      <alignment vertical="center"/>
    </xf>
    <xf numFmtId="0" fontId="3" fillId="0" borderId="47" xfId="0" applyFont="1" applyBorder="1" applyAlignment="1">
      <alignment horizontal="center" vertical="center" wrapText="1" shrinkToFit="1"/>
    </xf>
    <xf numFmtId="0" fontId="12" fillId="0" borderId="47" xfId="0" applyFont="1" applyBorder="1" applyAlignment="1">
      <alignment horizontal="center" vertical="center" shrinkToFit="1"/>
    </xf>
    <xf numFmtId="176" fontId="6" fillId="0" borderId="0" xfId="0" applyNumberFormat="1" applyFont="1" applyProtection="1">
      <alignment vertical="center"/>
      <protection hidden="1"/>
    </xf>
    <xf numFmtId="0" fontId="4" fillId="0" borderId="47" xfId="0" applyFont="1" applyBorder="1">
      <alignment vertical="center"/>
    </xf>
    <xf numFmtId="0" fontId="4" fillId="0" borderId="48" xfId="0" applyFont="1" applyBorder="1">
      <alignment vertical="center"/>
    </xf>
    <xf numFmtId="56" fontId="4" fillId="0" borderId="15" xfId="0" applyNumberFormat="1" applyFont="1" applyBorder="1">
      <alignment vertical="center"/>
    </xf>
    <xf numFmtId="0" fontId="9" fillId="0" borderId="15" xfId="0" applyFont="1" applyBorder="1" applyAlignment="1">
      <alignment horizontal="center" vertical="center"/>
    </xf>
    <xf numFmtId="0" fontId="5" fillId="0" borderId="47" xfId="0" applyFont="1" applyBorder="1" applyAlignment="1">
      <alignment horizontal="center" vertical="center"/>
    </xf>
    <xf numFmtId="0" fontId="18" fillId="0" borderId="0" xfId="0" applyFont="1" applyAlignment="1">
      <alignment horizontal="left" vertical="center"/>
    </xf>
    <xf numFmtId="56" fontId="9" fillId="2" borderId="16" xfId="0" applyNumberFormat="1" applyFont="1" applyFill="1" applyBorder="1" applyAlignment="1">
      <alignment horizontal="center" vertical="center"/>
    </xf>
    <xf numFmtId="176" fontId="9" fillId="2" borderId="16" xfId="0" applyNumberFormat="1"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16" xfId="0" applyFont="1" applyFill="1" applyBorder="1" applyAlignment="1">
      <alignment horizontal="center" vertical="center" shrinkToFit="1"/>
    </xf>
    <xf numFmtId="176" fontId="10" fillId="0" borderId="16" xfId="0" applyNumberFormat="1" applyFont="1" applyBorder="1" applyAlignment="1">
      <alignment horizontal="center" vertical="center"/>
    </xf>
    <xf numFmtId="176" fontId="10" fillId="0" borderId="22" xfId="0" applyNumberFormat="1" applyFont="1" applyBorder="1" applyAlignment="1">
      <alignment horizontal="center" vertical="center"/>
    </xf>
    <xf numFmtId="185" fontId="17" fillId="2" borderId="1" xfId="0" applyNumberFormat="1" applyFont="1" applyFill="1" applyBorder="1" applyAlignment="1">
      <alignment horizontal="center" vertical="center"/>
    </xf>
    <xf numFmtId="0" fontId="9" fillId="0" borderId="53" xfId="0" applyFont="1" applyBorder="1" applyAlignment="1">
      <alignment vertical="center" shrinkToFit="1"/>
    </xf>
    <xf numFmtId="0" fontId="9" fillId="0" borderId="8" xfId="0" applyFont="1" applyBorder="1" applyAlignment="1">
      <alignment horizontal="center" vertical="center" shrinkToFit="1"/>
    </xf>
    <xf numFmtId="184" fontId="9" fillId="0" borderId="54" xfId="0" applyNumberFormat="1" applyFont="1" applyBorder="1" applyAlignment="1">
      <alignment horizontal="center" vertical="center" wrapText="1"/>
    </xf>
    <xf numFmtId="184" fontId="9" fillId="0" borderId="70" xfId="0" applyNumberFormat="1" applyFont="1" applyBorder="1" applyAlignment="1">
      <alignment horizontal="center" vertical="center" wrapText="1"/>
    </xf>
    <xf numFmtId="0" fontId="9" fillId="0" borderId="77" xfId="0" applyFont="1" applyBorder="1" applyAlignment="1">
      <alignment horizontal="center" vertical="center" wrapText="1" shrinkToFit="1"/>
    </xf>
    <xf numFmtId="184" fontId="9" fillId="0" borderId="77" xfId="0" applyNumberFormat="1" applyFont="1" applyBorder="1" applyAlignment="1">
      <alignment horizontal="center" vertical="center" shrinkToFit="1"/>
    </xf>
    <xf numFmtId="0" fontId="9" fillId="0" borderId="77" xfId="0" applyFont="1" applyBorder="1" applyAlignment="1">
      <alignment horizontal="center" vertical="center"/>
    </xf>
    <xf numFmtId="0" fontId="9" fillId="0" borderId="78" xfId="0" applyFont="1" applyBorder="1" applyAlignment="1">
      <alignment horizontal="center" vertical="center"/>
    </xf>
    <xf numFmtId="0" fontId="21" fillId="2" borderId="9" xfId="0" applyFont="1" applyFill="1" applyBorder="1" applyAlignment="1">
      <alignment horizontal="center" vertical="center" shrinkToFit="1"/>
    </xf>
    <xf numFmtId="0" fontId="21" fillId="2" borderId="71" xfId="0" applyFont="1" applyFill="1" applyBorder="1" applyAlignment="1">
      <alignment horizontal="center" vertical="center" shrinkToFit="1"/>
    </xf>
    <xf numFmtId="0" fontId="21" fillId="0" borderId="8" xfId="0" applyFont="1" applyBorder="1" applyAlignment="1">
      <alignment horizontal="center" vertical="center" shrinkToFit="1"/>
    </xf>
    <xf numFmtId="56" fontId="21" fillId="2" borderId="16" xfId="0" applyNumberFormat="1" applyFont="1" applyFill="1" applyBorder="1" applyAlignment="1">
      <alignment horizontal="center" vertical="center"/>
    </xf>
    <xf numFmtId="0" fontId="21" fillId="2" borderId="72" xfId="0" applyFont="1" applyFill="1" applyBorder="1" applyAlignment="1">
      <alignment horizontal="center" vertical="center" shrinkToFit="1"/>
    </xf>
    <xf numFmtId="0" fontId="21" fillId="2" borderId="15" xfId="0" applyFont="1" applyFill="1" applyBorder="1" applyAlignment="1">
      <alignment vertical="center" shrinkToFit="1"/>
    </xf>
    <xf numFmtId="0" fontId="21" fillId="2" borderId="68" xfId="0" applyFont="1" applyFill="1" applyBorder="1" applyAlignment="1">
      <alignment vertical="center" shrinkToFit="1"/>
    </xf>
    <xf numFmtId="0" fontId="21" fillId="0" borderId="18" xfId="0" applyFont="1" applyBorder="1" applyAlignment="1">
      <alignment horizontal="center" vertical="center" shrinkToFit="1"/>
    </xf>
    <xf numFmtId="0" fontId="21" fillId="2" borderId="16" xfId="0" applyFont="1" applyFill="1" applyBorder="1" applyAlignment="1">
      <alignment horizontal="center" vertical="center" shrinkToFit="1"/>
    </xf>
    <xf numFmtId="0" fontId="21" fillId="2" borderId="73" xfId="0" applyFont="1" applyFill="1" applyBorder="1" applyAlignment="1">
      <alignment horizontal="center" vertical="center" shrinkToFit="1"/>
    </xf>
    <xf numFmtId="176" fontId="21" fillId="2" borderId="16" xfId="0" applyNumberFormat="1" applyFont="1" applyFill="1" applyBorder="1" applyAlignment="1">
      <alignment horizontal="center" vertical="center" shrinkToFit="1"/>
    </xf>
    <xf numFmtId="176" fontId="21" fillId="2" borderId="17" xfId="0" applyNumberFormat="1" applyFont="1" applyFill="1" applyBorder="1" applyAlignment="1">
      <alignment horizontal="center" vertical="center" shrinkToFit="1"/>
    </xf>
    <xf numFmtId="0" fontId="21" fillId="2" borderId="74" xfId="0" applyFont="1" applyFill="1" applyBorder="1" applyAlignment="1">
      <alignment horizontal="center" vertical="center" shrinkToFit="1"/>
    </xf>
    <xf numFmtId="0" fontId="21" fillId="0" borderId="15" xfId="0" applyFont="1" applyBorder="1" applyAlignment="1">
      <alignment horizontal="center" vertical="center" shrinkToFit="1"/>
    </xf>
    <xf numFmtId="176" fontId="21" fillId="2" borderId="73" xfId="0" applyNumberFormat="1" applyFont="1" applyFill="1" applyBorder="1" applyAlignment="1">
      <alignment horizontal="center" vertical="center" shrinkToFit="1"/>
    </xf>
    <xf numFmtId="0" fontId="9" fillId="0" borderId="85" xfId="0" applyFont="1" applyBorder="1" applyAlignment="1">
      <alignment horizontal="center" vertical="center"/>
    </xf>
    <xf numFmtId="0" fontId="9" fillId="0" borderId="9" xfId="0" applyFont="1" applyBorder="1" applyAlignment="1">
      <alignment horizontal="center" vertical="center" shrinkToFit="1"/>
    </xf>
    <xf numFmtId="176" fontId="9" fillId="0" borderId="16" xfId="0" applyNumberFormat="1" applyFont="1" applyBorder="1" applyAlignment="1">
      <alignment horizontal="center" vertical="center"/>
    </xf>
    <xf numFmtId="0" fontId="9" fillId="0" borderId="89" xfId="0" applyFont="1" applyBorder="1" applyAlignment="1">
      <alignment horizontal="center" vertical="center" shrinkToFit="1"/>
    </xf>
    <xf numFmtId="0" fontId="9" fillId="0" borderId="90" xfId="0" applyFont="1" applyBorder="1" applyAlignment="1">
      <alignment horizontal="center" vertical="center" shrinkToFit="1"/>
    </xf>
    <xf numFmtId="0" fontId="10" fillId="0" borderId="52" xfId="0" applyFont="1" applyBorder="1" applyAlignment="1">
      <alignment horizontal="center" vertical="center"/>
    </xf>
    <xf numFmtId="0" fontId="13" fillId="0" borderId="40" xfId="0" applyFont="1" applyBorder="1" applyAlignment="1">
      <alignment horizontal="center" vertical="center"/>
    </xf>
    <xf numFmtId="0" fontId="21" fillId="2" borderId="95" xfId="0" applyFont="1" applyFill="1" applyBorder="1" applyAlignment="1">
      <alignment horizontal="center" vertical="center" shrinkToFit="1"/>
    </xf>
    <xf numFmtId="176" fontId="21" fillId="2" borderId="15" xfId="0" applyNumberFormat="1" applyFont="1" applyFill="1" applyBorder="1" applyAlignment="1">
      <alignment horizontal="center" vertical="center" shrinkToFit="1"/>
    </xf>
    <xf numFmtId="176" fontId="9" fillId="2" borderId="17" xfId="0" applyNumberFormat="1"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21" fillId="2" borderId="97" xfId="0" applyFont="1" applyFill="1" applyBorder="1" applyAlignment="1">
      <alignment horizontal="center" vertical="center" shrinkToFit="1"/>
    </xf>
    <xf numFmtId="0" fontId="21" fillId="2" borderId="98" xfId="0" applyFont="1" applyFill="1" applyBorder="1" applyAlignment="1">
      <alignment horizontal="center" vertical="center" shrinkToFit="1"/>
    </xf>
    <xf numFmtId="0" fontId="21" fillId="2" borderId="84" xfId="0" applyFont="1" applyFill="1" applyBorder="1" applyAlignment="1">
      <alignment vertical="center" shrinkToFit="1"/>
    </xf>
    <xf numFmtId="0" fontId="21" fillId="5" borderId="15" xfId="0" applyFont="1" applyFill="1" applyBorder="1" applyAlignment="1">
      <alignment vertical="center" shrinkToFit="1"/>
    </xf>
    <xf numFmtId="0" fontId="21" fillId="2" borderId="9" xfId="0" applyFont="1" applyFill="1" applyBorder="1" applyAlignment="1" applyProtection="1">
      <alignment horizontal="center" vertical="center" shrinkToFit="1"/>
      <protection locked="0"/>
    </xf>
    <xf numFmtId="0" fontId="21" fillId="2" borderId="71" xfId="0" applyFont="1" applyFill="1" applyBorder="1" applyAlignment="1" applyProtection="1">
      <alignment horizontal="center" vertical="center" shrinkToFit="1"/>
      <protection locked="0"/>
    </xf>
    <xf numFmtId="0" fontId="21" fillId="2" borderId="16" xfId="0" applyFont="1" applyFill="1" applyBorder="1" applyAlignment="1" applyProtection="1">
      <alignment horizontal="center" vertical="center" shrinkToFit="1"/>
      <protection locked="0"/>
    </xf>
    <xf numFmtId="56" fontId="21" fillId="2" borderId="16" xfId="0" applyNumberFormat="1" applyFont="1" applyFill="1" applyBorder="1" applyAlignment="1" applyProtection="1">
      <alignment horizontal="center" vertical="center"/>
      <protection locked="0"/>
    </xf>
    <xf numFmtId="176" fontId="21" fillId="2" borderId="16" xfId="0" applyNumberFormat="1" applyFont="1" applyFill="1" applyBorder="1" applyAlignment="1" applyProtection="1">
      <alignment horizontal="center" vertical="center" shrinkToFit="1"/>
      <protection locked="0"/>
    </xf>
    <xf numFmtId="0" fontId="21" fillId="2" borderId="72" xfId="0" applyFont="1" applyFill="1" applyBorder="1" applyAlignment="1" applyProtection="1">
      <alignment horizontal="center" vertical="center" shrinkToFit="1"/>
      <protection locked="0"/>
    </xf>
    <xf numFmtId="0" fontId="21" fillId="2" borderId="15" xfId="0" applyFont="1" applyFill="1" applyBorder="1" applyAlignment="1" applyProtection="1">
      <alignment vertical="center" shrinkToFit="1"/>
      <protection locked="0"/>
    </xf>
    <xf numFmtId="0" fontId="21" fillId="2" borderId="68" xfId="0" applyFont="1" applyFill="1" applyBorder="1" applyAlignment="1" applyProtection="1">
      <alignment vertical="center" shrinkToFit="1"/>
      <protection locked="0"/>
    </xf>
    <xf numFmtId="0" fontId="21" fillId="2" borderId="73" xfId="0" applyFont="1" applyFill="1" applyBorder="1" applyAlignment="1" applyProtection="1">
      <alignment horizontal="center" vertical="center" shrinkToFit="1"/>
      <protection locked="0"/>
    </xf>
    <xf numFmtId="0" fontId="21" fillId="2" borderId="74" xfId="0" applyFont="1" applyFill="1" applyBorder="1" applyAlignment="1" applyProtection="1">
      <alignment horizontal="center" vertical="center" shrinkToFit="1"/>
      <protection locked="0"/>
    </xf>
    <xf numFmtId="176" fontId="21" fillId="2" borderId="17" xfId="0" applyNumberFormat="1" applyFont="1" applyFill="1" applyBorder="1" applyAlignment="1" applyProtection="1">
      <alignment horizontal="center" vertical="center" shrinkToFit="1"/>
      <protection locked="0"/>
    </xf>
    <xf numFmtId="56" fontId="9" fillId="2" borderId="16" xfId="0" applyNumberFormat="1" applyFont="1" applyFill="1" applyBorder="1" applyAlignment="1" applyProtection="1">
      <alignment horizontal="center" vertical="center"/>
      <protection locked="0"/>
    </xf>
    <xf numFmtId="176" fontId="9" fillId="2" borderId="16" xfId="0" applyNumberFormat="1" applyFont="1" applyFill="1" applyBorder="1" applyAlignment="1" applyProtection="1">
      <alignment horizontal="center" vertical="center" shrinkToFit="1"/>
      <protection locked="0"/>
    </xf>
    <xf numFmtId="0" fontId="9" fillId="2" borderId="16" xfId="0" applyFont="1" applyFill="1" applyBorder="1" applyAlignment="1" applyProtection="1">
      <alignment horizontal="center" vertical="center" shrinkToFit="1"/>
      <protection locked="0"/>
    </xf>
    <xf numFmtId="176" fontId="21" fillId="2" borderId="73" xfId="0" applyNumberFormat="1" applyFont="1" applyFill="1" applyBorder="1" applyAlignment="1" applyProtection="1">
      <alignment horizontal="center" vertical="center" shrinkToFit="1"/>
      <protection locked="0"/>
    </xf>
    <xf numFmtId="0" fontId="21" fillId="2" borderId="95" xfId="0" applyFont="1" applyFill="1" applyBorder="1" applyAlignment="1" applyProtection="1">
      <alignment horizontal="center" vertical="center" shrinkToFit="1"/>
      <protection locked="0"/>
    </xf>
    <xf numFmtId="176" fontId="9" fillId="2" borderId="17" xfId="0" applyNumberFormat="1" applyFont="1" applyFill="1" applyBorder="1" applyAlignment="1" applyProtection="1">
      <alignment horizontal="center" vertical="center" shrinkToFit="1"/>
      <protection locked="0"/>
    </xf>
    <xf numFmtId="176" fontId="21" fillId="2" borderId="15" xfId="0" applyNumberFormat="1" applyFont="1" applyFill="1" applyBorder="1" applyAlignment="1" applyProtection="1">
      <alignment horizontal="center" vertical="center" shrinkToFit="1"/>
      <protection locked="0"/>
    </xf>
    <xf numFmtId="0" fontId="9" fillId="2" borderId="28" xfId="0" applyFont="1" applyFill="1" applyBorder="1" applyAlignment="1" applyProtection="1">
      <alignment horizontal="center" vertical="center" shrinkToFit="1"/>
      <protection locked="0"/>
    </xf>
    <xf numFmtId="0" fontId="9" fillId="2" borderId="30" xfId="0" applyFont="1" applyFill="1" applyBorder="1" applyAlignment="1" applyProtection="1">
      <alignment horizontal="center" vertical="center" shrinkToFit="1"/>
      <protection locked="0"/>
    </xf>
    <xf numFmtId="0" fontId="21" fillId="2" borderId="97" xfId="0" applyFont="1" applyFill="1" applyBorder="1" applyAlignment="1" applyProtection="1">
      <alignment horizontal="center" vertical="center" shrinkToFit="1"/>
      <protection locked="0"/>
    </xf>
    <xf numFmtId="0" fontId="21" fillId="2" borderId="98" xfId="0" applyFont="1" applyFill="1" applyBorder="1" applyAlignment="1" applyProtection="1">
      <alignment horizontal="center" vertical="center" shrinkToFit="1"/>
      <protection locked="0"/>
    </xf>
    <xf numFmtId="0" fontId="21" fillId="2" borderId="84" xfId="0" applyFont="1" applyFill="1" applyBorder="1" applyAlignment="1" applyProtection="1">
      <alignment vertical="center" shrinkToFit="1"/>
      <protection locked="0"/>
    </xf>
    <xf numFmtId="176" fontId="10" fillId="0" borderId="30" xfId="0" applyNumberFormat="1" applyFont="1" applyBorder="1" applyAlignment="1">
      <alignment horizontal="center" vertical="center"/>
    </xf>
    <xf numFmtId="176" fontId="10" fillId="0" borderId="29" xfId="0" applyNumberFormat="1" applyFont="1" applyBorder="1" applyAlignment="1">
      <alignment horizontal="center" vertical="center"/>
    </xf>
    <xf numFmtId="176" fontId="10" fillId="0" borderId="35" xfId="0" applyNumberFormat="1" applyFont="1" applyBorder="1" applyAlignment="1">
      <alignment horizontal="center" vertical="center"/>
    </xf>
    <xf numFmtId="176" fontId="10" fillId="0" borderId="34" xfId="0" applyNumberFormat="1" applyFont="1" applyBorder="1" applyAlignment="1">
      <alignment horizontal="center" vertical="center"/>
    </xf>
    <xf numFmtId="176" fontId="10" fillId="0" borderId="50" xfId="0" applyNumberFormat="1" applyFont="1" applyBorder="1" applyAlignment="1">
      <alignment horizontal="center" vertical="center"/>
    </xf>
    <xf numFmtId="176" fontId="10" fillId="0" borderId="49" xfId="0" applyNumberFormat="1" applyFont="1" applyBorder="1" applyAlignment="1">
      <alignment horizontal="center" vertical="center"/>
    </xf>
    <xf numFmtId="179" fontId="10" fillId="0" borderId="23" xfId="0" applyNumberFormat="1" applyFont="1" applyBorder="1" applyAlignment="1">
      <alignment horizontal="center" vertical="center"/>
    </xf>
    <xf numFmtId="179" fontId="10" fillId="0" borderId="21" xfId="0" applyNumberFormat="1" applyFont="1" applyBorder="1" applyAlignment="1">
      <alignment horizontal="center" vertical="center"/>
    </xf>
    <xf numFmtId="0" fontId="10" fillId="0" borderId="17" xfId="0" applyFont="1" applyBorder="1" applyAlignment="1">
      <alignment horizontal="center" vertical="center"/>
    </xf>
    <xf numFmtId="0" fontId="10" fillId="0" borderId="15" xfId="0" applyFont="1" applyBorder="1" applyAlignment="1">
      <alignment horizontal="center" vertical="center"/>
    </xf>
    <xf numFmtId="0" fontId="18" fillId="0" borderId="33" xfId="0" applyFont="1" applyBorder="1" applyAlignment="1">
      <alignment horizontal="left" vertical="center" wrapText="1"/>
    </xf>
    <xf numFmtId="0" fontId="18" fillId="0" borderId="0" xfId="0" applyFont="1" applyAlignment="1">
      <alignment horizontal="left" vertical="center" wrapText="1"/>
    </xf>
    <xf numFmtId="10" fontId="9" fillId="0" borderId="29" xfId="0" applyNumberFormat="1" applyFont="1" applyBorder="1" applyAlignment="1">
      <alignment horizontal="center" vertical="center"/>
    </xf>
    <xf numFmtId="10" fontId="9" fillId="0" borderId="28" xfId="0" applyNumberFormat="1" applyFont="1" applyBorder="1" applyAlignment="1">
      <alignment horizontal="center" vertical="center"/>
    </xf>
    <xf numFmtId="176" fontId="9" fillId="0" borderId="30" xfId="0" applyNumberFormat="1" applyFont="1" applyBorder="1" applyAlignment="1">
      <alignment horizontal="center" vertical="center"/>
    </xf>
    <xf numFmtId="176" fontId="9" fillId="0" borderId="56" xfId="0" applyNumberFormat="1" applyFont="1" applyBorder="1" applyAlignment="1">
      <alignment horizontal="center" vertical="center"/>
    </xf>
    <xf numFmtId="176" fontId="9" fillId="0" borderId="29" xfId="0" applyNumberFormat="1" applyFont="1" applyBorder="1" applyAlignment="1">
      <alignment horizontal="center" vertical="center"/>
    </xf>
    <xf numFmtId="176" fontId="9" fillId="0" borderId="28" xfId="0" applyNumberFormat="1" applyFont="1" applyBorder="1" applyAlignment="1">
      <alignment horizontal="center" vertical="center"/>
    </xf>
    <xf numFmtId="176" fontId="9" fillId="0" borderId="86" xfId="0" applyNumberFormat="1" applyFont="1" applyBorder="1" applyAlignment="1">
      <alignment horizontal="center" vertical="center"/>
    </xf>
    <xf numFmtId="0" fontId="19" fillId="4" borderId="10" xfId="0" applyFont="1" applyFill="1" applyBorder="1" applyAlignment="1">
      <alignment horizontal="center" vertical="center"/>
    </xf>
    <xf numFmtId="0" fontId="19" fillId="4" borderId="11" xfId="0" applyFont="1" applyFill="1" applyBorder="1" applyAlignment="1">
      <alignment horizontal="center" vertical="center"/>
    </xf>
    <xf numFmtId="0" fontId="19" fillId="4" borderId="12" xfId="0" applyFont="1" applyFill="1" applyBorder="1" applyAlignment="1">
      <alignment horizontal="center" vertical="center"/>
    </xf>
    <xf numFmtId="0" fontId="19" fillId="4" borderId="46" xfId="0" applyFont="1" applyFill="1" applyBorder="1" applyAlignment="1">
      <alignment horizontal="center" vertical="center"/>
    </xf>
    <xf numFmtId="176" fontId="16" fillId="0" borderId="23" xfId="0" applyNumberFormat="1" applyFont="1" applyBorder="1" applyAlignment="1">
      <alignment horizontal="center" vertical="center"/>
    </xf>
    <xf numFmtId="176" fontId="16" fillId="0" borderId="24" xfId="0" applyNumberFormat="1" applyFont="1" applyBorder="1" applyAlignment="1">
      <alignment horizontal="center" vertical="center"/>
    </xf>
    <xf numFmtId="176" fontId="16" fillId="0" borderId="61" xfId="0" applyNumberFormat="1" applyFont="1" applyBorder="1" applyAlignment="1">
      <alignment horizontal="center" vertical="center"/>
    </xf>
    <xf numFmtId="176" fontId="22" fillId="0" borderId="23" xfId="0" applyNumberFormat="1" applyFont="1" applyBorder="1" applyAlignment="1">
      <alignment horizontal="center" vertical="center"/>
    </xf>
    <xf numFmtId="176" fontId="22" fillId="0" borderId="24" xfId="0" applyNumberFormat="1" applyFont="1" applyBorder="1" applyAlignment="1">
      <alignment horizontal="center" vertical="center"/>
    </xf>
    <xf numFmtId="176" fontId="22" fillId="0" borderId="21" xfId="0" applyNumberFormat="1" applyFont="1" applyBorder="1" applyAlignment="1">
      <alignment horizontal="center" vertical="center"/>
    </xf>
    <xf numFmtId="0" fontId="19" fillId="4" borderId="51" xfId="0" applyFont="1" applyFill="1" applyBorder="1" applyAlignment="1">
      <alignment horizontal="center" vertical="center"/>
    </xf>
    <xf numFmtId="176" fontId="20" fillId="0" borderId="44" xfId="0" applyNumberFormat="1" applyFont="1" applyBorder="1" applyAlignment="1">
      <alignment horizontal="center" vertical="center"/>
    </xf>
    <xf numFmtId="176" fontId="20" fillId="0" borderId="45" xfId="0" applyNumberFormat="1" applyFont="1" applyBorder="1" applyAlignment="1">
      <alignment horizontal="center" vertical="center"/>
    </xf>
    <xf numFmtId="176" fontId="20" fillId="0" borderId="49" xfId="0" applyNumberFormat="1" applyFont="1" applyBorder="1" applyAlignment="1">
      <alignment horizontal="center" vertical="center"/>
    </xf>
    <xf numFmtId="176" fontId="20" fillId="0" borderId="50" xfId="0" applyNumberFormat="1" applyFont="1" applyBorder="1" applyAlignment="1">
      <alignment horizontal="center" vertical="center"/>
    </xf>
    <xf numFmtId="0" fontId="10" fillId="0" borderId="30" xfId="0" applyFont="1" applyBorder="1" applyAlignment="1">
      <alignment horizontal="center" vertical="center"/>
    </xf>
    <xf numFmtId="0" fontId="10" fillId="0" borderId="29" xfId="0" applyFont="1" applyBorder="1" applyAlignment="1">
      <alignment horizontal="center" vertical="center"/>
    </xf>
    <xf numFmtId="176" fontId="10" fillId="0" borderId="30" xfId="0" applyNumberFormat="1" applyFont="1" applyBorder="1" applyAlignment="1">
      <alignment horizontal="center" vertical="center" shrinkToFit="1"/>
    </xf>
    <xf numFmtId="176" fontId="10" fillId="0" borderId="56" xfId="0" applyNumberFormat="1" applyFont="1" applyBorder="1" applyAlignment="1">
      <alignment horizontal="center" vertical="center" shrinkToFit="1"/>
    </xf>
    <xf numFmtId="176" fontId="10" fillId="0" borderId="29" xfId="0" applyNumberFormat="1" applyFont="1" applyBorder="1" applyAlignment="1">
      <alignment horizontal="center" vertical="center" shrinkToFit="1"/>
    </xf>
    <xf numFmtId="176" fontId="10" fillId="0" borderId="28" xfId="1" applyNumberFormat="1" applyFont="1" applyFill="1" applyBorder="1" applyAlignment="1" applyProtection="1">
      <alignment horizontal="center" vertical="center" shrinkToFit="1"/>
    </xf>
    <xf numFmtId="176" fontId="10" fillId="0" borderId="30" xfId="1" applyNumberFormat="1" applyFont="1" applyFill="1" applyBorder="1" applyAlignment="1" applyProtection="1">
      <alignment horizontal="center" vertical="center" shrinkToFit="1"/>
    </xf>
    <xf numFmtId="176" fontId="10" fillId="0" borderId="56" xfId="1" applyNumberFormat="1" applyFont="1" applyFill="1" applyBorder="1" applyAlignment="1" applyProtection="1">
      <alignment horizontal="center" vertical="center" shrinkToFit="1"/>
    </xf>
    <xf numFmtId="176" fontId="10" fillId="0" borderId="29" xfId="1" applyNumberFormat="1" applyFont="1" applyFill="1" applyBorder="1" applyAlignment="1" applyProtection="1">
      <alignment horizontal="center" vertical="center" shrinkToFit="1"/>
    </xf>
    <xf numFmtId="176" fontId="10" fillId="0" borderId="27" xfId="1" applyNumberFormat="1" applyFont="1" applyFill="1" applyBorder="1" applyAlignment="1" applyProtection="1">
      <alignment horizontal="center" vertical="center" shrinkToFit="1"/>
    </xf>
    <xf numFmtId="176" fontId="10" fillId="0" borderId="100" xfId="1" applyNumberFormat="1" applyFont="1" applyFill="1" applyBorder="1" applyAlignment="1" applyProtection="1">
      <alignment horizontal="center" vertical="center" shrinkToFit="1"/>
    </xf>
    <xf numFmtId="176" fontId="10" fillId="0" borderId="17" xfId="0" applyNumberFormat="1" applyFont="1" applyBorder="1" applyAlignment="1">
      <alignment horizontal="center" vertical="center" shrinkToFit="1"/>
    </xf>
    <xf numFmtId="176" fontId="10" fillId="0" borderId="18" xfId="0" applyNumberFormat="1" applyFont="1" applyBorder="1" applyAlignment="1">
      <alignment horizontal="center" vertical="center" shrinkToFit="1"/>
    </xf>
    <xf numFmtId="176" fontId="10" fillId="0" borderId="15" xfId="0" applyNumberFormat="1" applyFont="1" applyBorder="1" applyAlignment="1">
      <alignment horizontal="center" vertical="center" shrinkToFit="1"/>
    </xf>
    <xf numFmtId="176" fontId="10" fillId="0" borderId="16" xfId="1" applyNumberFormat="1" applyFont="1" applyFill="1" applyBorder="1" applyAlignment="1" applyProtection="1">
      <alignment horizontal="center" vertical="center" shrinkToFit="1"/>
    </xf>
    <xf numFmtId="176" fontId="10" fillId="0" borderId="17" xfId="1" applyNumberFormat="1" applyFont="1" applyFill="1" applyBorder="1" applyAlignment="1" applyProtection="1">
      <alignment horizontal="center" vertical="center" shrinkToFit="1"/>
    </xf>
    <xf numFmtId="176" fontId="10" fillId="0" borderId="18" xfId="1" applyNumberFormat="1" applyFont="1" applyFill="1" applyBorder="1" applyAlignment="1" applyProtection="1">
      <alignment horizontal="center" vertical="center" shrinkToFit="1"/>
    </xf>
    <xf numFmtId="176" fontId="10" fillId="0" borderId="15" xfId="1" applyNumberFormat="1" applyFont="1" applyFill="1" applyBorder="1" applyAlignment="1" applyProtection="1">
      <alignment horizontal="center" vertical="center" shrinkToFit="1"/>
    </xf>
    <xf numFmtId="176" fontId="10" fillId="0" borderId="57" xfId="1" applyNumberFormat="1" applyFont="1" applyFill="1" applyBorder="1" applyAlignment="1" applyProtection="1">
      <alignment horizontal="center" vertical="center" shrinkToFit="1"/>
    </xf>
    <xf numFmtId="0" fontId="10" fillId="0" borderId="35" xfId="0" applyFont="1" applyBorder="1" applyAlignment="1">
      <alignment horizontal="center" vertical="center"/>
    </xf>
    <xf numFmtId="0" fontId="10" fillId="0" borderId="34" xfId="0" applyFont="1" applyBorder="1" applyAlignment="1">
      <alignment horizontal="center" vertical="center"/>
    </xf>
    <xf numFmtId="176" fontId="10" fillId="0" borderId="27" xfId="0" applyNumberFormat="1" applyFont="1" applyBorder="1" applyAlignment="1">
      <alignment horizontal="center" vertical="center" shrinkToFit="1"/>
    </xf>
    <xf numFmtId="176" fontId="10" fillId="0" borderId="36" xfId="0" applyNumberFormat="1" applyFont="1" applyBorder="1" applyAlignment="1">
      <alignment horizontal="center" vertical="center" shrinkToFit="1"/>
    </xf>
    <xf numFmtId="176" fontId="10" fillId="0" borderId="8" xfId="0" applyNumberFormat="1" applyFont="1" applyBorder="1" applyAlignment="1">
      <alignment horizontal="center" vertical="center" shrinkToFit="1"/>
    </xf>
    <xf numFmtId="178" fontId="10" fillId="0" borderId="39" xfId="0" applyNumberFormat="1" applyFont="1" applyBorder="1" applyAlignment="1">
      <alignment horizontal="center" vertical="center"/>
    </xf>
    <xf numFmtId="178" fontId="10" fillId="0" borderId="16" xfId="0" applyNumberFormat="1" applyFont="1" applyBorder="1" applyAlignment="1">
      <alignment horizontal="center" vertical="center"/>
    </xf>
    <xf numFmtId="176" fontId="10" fillId="0" borderId="16" xfId="0" applyNumberFormat="1" applyFont="1" applyBorder="1" applyAlignment="1">
      <alignment horizontal="center" vertical="center"/>
    </xf>
    <xf numFmtId="176" fontId="10" fillId="0" borderId="28" xfId="0" applyNumberFormat="1" applyFont="1" applyBorder="1" applyAlignment="1">
      <alignment horizontal="center" vertical="center"/>
    </xf>
    <xf numFmtId="176" fontId="10" fillId="0" borderId="22" xfId="0" applyNumberFormat="1" applyFont="1" applyBorder="1" applyAlignment="1">
      <alignment horizontal="center" vertical="center"/>
    </xf>
    <xf numFmtId="176" fontId="10" fillId="0" borderId="17" xfId="0" applyNumberFormat="1" applyFont="1" applyBorder="1" applyAlignment="1">
      <alignment horizontal="center" vertical="center"/>
    </xf>
    <xf numFmtId="176" fontId="10" fillId="0" borderId="57" xfId="0" applyNumberFormat="1" applyFont="1" applyBorder="1" applyAlignment="1">
      <alignment horizontal="center" vertical="center"/>
    </xf>
    <xf numFmtId="178" fontId="10" fillId="0" borderId="40" xfId="0" applyNumberFormat="1" applyFont="1" applyBorder="1" applyAlignment="1">
      <alignment horizontal="center" vertical="center"/>
    </xf>
    <xf numFmtId="178" fontId="10" fillId="0" borderId="22" xfId="0" applyNumberFormat="1" applyFont="1" applyBorder="1" applyAlignment="1">
      <alignment horizontal="center" vertical="center"/>
    </xf>
    <xf numFmtId="176" fontId="10" fillId="0" borderId="88" xfId="1" applyNumberFormat="1" applyFont="1" applyFill="1" applyBorder="1" applyAlignment="1" applyProtection="1">
      <alignment horizontal="center" vertical="center" shrinkToFit="1"/>
    </xf>
    <xf numFmtId="176" fontId="10" fillId="0" borderId="58" xfId="1" applyNumberFormat="1" applyFont="1" applyFill="1" applyBorder="1" applyAlignment="1" applyProtection="1">
      <alignment horizontal="center" vertical="center" shrinkToFit="1"/>
    </xf>
    <xf numFmtId="176" fontId="10" fillId="0" borderId="60" xfId="1" applyNumberFormat="1" applyFont="1" applyFill="1" applyBorder="1" applyAlignment="1" applyProtection="1">
      <alignment horizontal="center" vertical="center" shrinkToFit="1"/>
    </xf>
    <xf numFmtId="176" fontId="10" fillId="0" borderId="93" xfId="1" applyNumberFormat="1" applyFont="1" applyFill="1" applyBorder="1" applyAlignment="1" applyProtection="1">
      <alignment horizontal="center" vertical="center" shrinkToFit="1"/>
    </xf>
    <xf numFmtId="176" fontId="10" fillId="0" borderId="87" xfId="1" applyNumberFormat="1" applyFont="1" applyFill="1" applyBorder="1" applyAlignment="1" applyProtection="1">
      <alignment horizontal="center" vertical="center" shrinkToFit="1"/>
    </xf>
    <xf numFmtId="176" fontId="10" fillId="0" borderId="99" xfId="1" applyNumberFormat="1" applyFont="1" applyFill="1" applyBorder="1" applyAlignment="1" applyProtection="1">
      <alignment horizontal="center" vertical="center" shrinkToFit="1"/>
    </xf>
    <xf numFmtId="176" fontId="10" fillId="0" borderId="23" xfId="0" applyNumberFormat="1" applyFont="1" applyBorder="1" applyAlignment="1">
      <alignment horizontal="center" vertical="center"/>
    </xf>
    <xf numFmtId="176" fontId="10" fillId="0" borderId="61" xfId="0" applyNumberFormat="1" applyFont="1" applyBorder="1" applyAlignment="1">
      <alignment horizontal="center" vertical="center"/>
    </xf>
    <xf numFmtId="0" fontId="10" fillId="0" borderId="55" xfId="0" applyFont="1" applyBorder="1" applyAlignment="1">
      <alignment horizontal="center" vertical="center"/>
    </xf>
    <xf numFmtId="0" fontId="10" fillId="0" borderId="54" xfId="0" applyFont="1" applyBorder="1" applyAlignment="1">
      <alignment horizontal="center" vertical="center"/>
    </xf>
    <xf numFmtId="0" fontId="10" fillId="0" borderId="32" xfId="0" applyFont="1" applyBorder="1" applyAlignment="1">
      <alignment horizontal="center" vertical="center"/>
    </xf>
    <xf numFmtId="0" fontId="10" fillId="0" borderId="42" xfId="0" applyFont="1" applyBorder="1" applyAlignment="1">
      <alignment horizontal="center" vertical="center"/>
    </xf>
    <xf numFmtId="0" fontId="10" fillId="0" borderId="59" xfId="0" applyFont="1" applyBorder="1" applyAlignment="1">
      <alignment horizontal="center" vertical="center"/>
    </xf>
    <xf numFmtId="0" fontId="10" fillId="0" borderId="28" xfId="0" applyFont="1" applyBorder="1" applyAlignment="1">
      <alignment horizontal="center" vertical="center" wrapText="1"/>
    </xf>
    <xf numFmtId="0" fontId="10" fillId="0" borderId="91" xfId="0" applyFont="1" applyBorder="1" applyAlignment="1">
      <alignment horizontal="center" vertical="center" wrapText="1"/>
    </xf>
    <xf numFmtId="0" fontId="10" fillId="0" borderId="92" xfId="0" applyFont="1" applyBorder="1" applyAlignment="1">
      <alignment horizontal="center" vertical="center" wrapText="1"/>
    </xf>
    <xf numFmtId="0" fontId="8" fillId="3" borderId="26" xfId="0" applyFont="1" applyFill="1" applyBorder="1" applyAlignment="1">
      <alignment horizontal="center" vertical="center"/>
    </xf>
    <xf numFmtId="0" fontId="8" fillId="3" borderId="5" xfId="0" applyFont="1" applyFill="1" applyBorder="1" applyAlignment="1">
      <alignment horizontal="center" vertical="center"/>
    </xf>
    <xf numFmtId="0" fontId="10" fillId="0" borderId="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46" xfId="0" applyFont="1" applyBorder="1" applyAlignment="1">
      <alignment horizontal="center" vertical="center"/>
    </xf>
    <xf numFmtId="0" fontId="10" fillId="0" borderId="39"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6" xfId="0" applyFont="1" applyBorder="1" applyAlignment="1">
      <alignment horizontal="center" vertical="center"/>
    </xf>
    <xf numFmtId="3" fontId="9" fillId="2" borderId="16" xfId="0" applyNumberFormat="1" applyFont="1" applyFill="1" applyBorder="1" applyAlignment="1" applyProtection="1">
      <alignment horizontal="center" vertical="center"/>
      <protection locked="0"/>
    </xf>
    <xf numFmtId="3" fontId="9" fillId="2" borderId="68" xfId="0" applyNumberFormat="1" applyFont="1" applyFill="1" applyBorder="1" applyAlignment="1" applyProtection="1">
      <alignment horizontal="center" vertical="center"/>
      <protection locked="0"/>
    </xf>
    <xf numFmtId="0" fontId="9" fillId="0" borderId="22" xfId="0" applyFont="1" applyBorder="1" applyAlignment="1">
      <alignment horizontal="center" vertical="center" wrapText="1" shrinkToFit="1"/>
    </xf>
    <xf numFmtId="0" fontId="9" fillId="0" borderId="23" xfId="0" applyFont="1" applyBorder="1" applyAlignment="1">
      <alignment horizontal="center" vertical="center" wrapText="1" shrinkToFit="1"/>
    </xf>
    <xf numFmtId="3" fontId="9" fillId="2" borderId="80" xfId="0" applyNumberFormat="1" applyFont="1" applyFill="1" applyBorder="1" applyAlignment="1" applyProtection="1">
      <alignment horizontal="center" vertical="center" shrinkToFit="1"/>
      <protection locked="0"/>
    </xf>
    <xf numFmtId="3" fontId="9" fillId="2" borderId="81" xfId="0" applyNumberFormat="1" applyFont="1" applyFill="1" applyBorder="1" applyAlignment="1" applyProtection="1">
      <alignment horizontal="center" vertical="center" shrinkToFit="1"/>
      <protection locked="0"/>
    </xf>
    <xf numFmtId="3" fontId="9" fillId="2" borderId="81" xfId="0" applyNumberFormat="1" applyFont="1" applyFill="1" applyBorder="1" applyAlignment="1" applyProtection="1">
      <alignment horizontal="center" vertical="center"/>
      <protection locked="0"/>
    </xf>
    <xf numFmtId="3" fontId="9" fillId="2" borderId="84" xfId="0" applyNumberFormat="1" applyFont="1" applyFill="1" applyBorder="1" applyAlignment="1" applyProtection="1">
      <alignment horizontal="center" vertical="center"/>
      <protection locked="0"/>
    </xf>
    <xf numFmtId="0" fontId="9" fillId="0" borderId="16" xfId="0" applyFont="1" applyBorder="1" applyAlignment="1">
      <alignment horizontal="center" vertical="center" wrapText="1" shrinkToFit="1"/>
    </xf>
    <xf numFmtId="0" fontId="9" fillId="0" borderId="17" xfId="0" applyFont="1" applyBorder="1" applyAlignment="1">
      <alignment horizontal="center" vertical="center" wrapText="1" shrinkToFit="1"/>
    </xf>
    <xf numFmtId="3" fontId="9" fillId="2" borderId="67" xfId="0" applyNumberFormat="1" applyFont="1" applyFill="1" applyBorder="1" applyAlignment="1" applyProtection="1">
      <alignment horizontal="center" vertical="center" shrinkToFit="1"/>
      <protection locked="0"/>
    </xf>
    <xf numFmtId="3" fontId="9" fillId="2" borderId="16" xfId="0" applyNumberFormat="1" applyFont="1" applyFill="1" applyBorder="1" applyAlignment="1" applyProtection="1">
      <alignment horizontal="center" vertical="center" shrinkToFit="1"/>
      <protection locked="0"/>
    </xf>
    <xf numFmtId="0" fontId="4" fillId="0" borderId="16" xfId="0" applyFont="1" applyBorder="1" applyAlignment="1">
      <alignment horizontal="center" vertical="center"/>
    </xf>
    <xf numFmtId="0" fontId="9" fillId="0" borderId="77" xfId="0" applyFont="1" applyBorder="1" applyAlignment="1">
      <alignment horizontal="center" vertical="center" wrapText="1" shrinkToFit="1"/>
    </xf>
    <xf numFmtId="0" fontId="9" fillId="0" borderId="82" xfId="0" applyFont="1" applyBorder="1" applyAlignment="1">
      <alignment horizontal="center" vertical="center" wrapText="1" shrinkToFit="1"/>
    </xf>
    <xf numFmtId="0" fontId="9" fillId="0" borderId="9" xfId="0" applyFont="1" applyBorder="1" applyAlignment="1">
      <alignment horizontal="center" vertical="center" shrinkToFit="1"/>
    </xf>
    <xf numFmtId="0" fontId="9" fillId="0" borderId="27" xfId="0" applyFont="1" applyBorder="1" applyAlignment="1">
      <alignment horizontal="center" vertical="center" shrinkToFit="1"/>
    </xf>
    <xf numFmtId="3" fontId="9" fillId="2" borderId="79" xfId="0" applyNumberFormat="1" applyFont="1" applyFill="1" applyBorder="1" applyAlignment="1" applyProtection="1">
      <alignment horizontal="center" vertical="center" shrinkToFit="1"/>
      <protection locked="0"/>
    </xf>
    <xf numFmtId="3" fontId="9" fillId="2" borderId="9" xfId="0" applyNumberFormat="1" applyFont="1" applyFill="1" applyBorder="1" applyAlignment="1" applyProtection="1">
      <alignment horizontal="center" vertical="center" shrinkToFit="1"/>
      <protection locked="0"/>
    </xf>
    <xf numFmtId="3" fontId="9" fillId="2" borderId="9" xfId="0" applyNumberFormat="1" applyFont="1" applyFill="1" applyBorder="1" applyAlignment="1" applyProtection="1">
      <alignment horizontal="center" vertical="center"/>
      <protection locked="0"/>
    </xf>
    <xf numFmtId="3" fontId="9" fillId="2" borderId="83" xfId="0" applyNumberFormat="1" applyFont="1" applyFill="1" applyBorder="1" applyAlignment="1" applyProtection="1">
      <alignment horizontal="center" vertical="center"/>
      <protection locked="0"/>
    </xf>
    <xf numFmtId="0" fontId="9" fillId="0" borderId="42" xfId="0" applyFont="1" applyBorder="1" applyAlignment="1">
      <alignment horizontal="center" vertical="center" shrinkToFit="1"/>
    </xf>
    <xf numFmtId="0" fontId="9" fillId="0" borderId="55" xfId="0" applyFont="1" applyBorder="1" applyAlignment="1">
      <alignment horizontal="center" vertical="center" shrinkToFit="1"/>
    </xf>
    <xf numFmtId="0" fontId="9" fillId="0" borderId="76" xfId="0" applyFont="1" applyBorder="1" applyAlignment="1">
      <alignment horizontal="center" vertical="center" shrinkToFit="1"/>
    </xf>
    <xf numFmtId="0" fontId="9" fillId="0" borderId="77" xfId="0" applyFont="1" applyBorder="1" applyAlignment="1">
      <alignment horizontal="center" vertical="center" shrinkToFit="1"/>
    </xf>
    <xf numFmtId="0" fontId="21" fillId="0" borderId="63" xfId="0" applyFont="1" applyBorder="1" applyAlignment="1">
      <alignment horizontal="center" vertical="center"/>
    </xf>
    <xf numFmtId="0" fontId="21" fillId="2" borderId="67" xfId="0" applyFont="1" applyFill="1" applyBorder="1" applyAlignment="1" applyProtection="1">
      <alignment horizontal="center" vertical="center" wrapText="1" shrinkToFit="1"/>
      <protection locked="0"/>
    </xf>
    <xf numFmtId="0" fontId="21" fillId="2" borderId="16" xfId="0" applyFont="1" applyFill="1" applyBorder="1" applyAlignment="1" applyProtection="1">
      <alignment horizontal="center" vertical="center" wrapText="1" shrinkToFit="1"/>
      <protection locked="0"/>
    </xf>
    <xf numFmtId="0" fontId="21" fillId="2" borderId="80" xfId="0" applyFont="1" applyFill="1" applyBorder="1" applyAlignment="1" applyProtection="1">
      <alignment horizontal="center" vertical="center" wrapText="1" shrinkToFit="1"/>
      <protection locked="0"/>
    </xf>
    <xf numFmtId="0" fontId="21" fillId="2" borderId="81" xfId="0" applyFont="1" applyFill="1" applyBorder="1" applyAlignment="1" applyProtection="1">
      <alignment horizontal="center" vertical="center" wrapText="1" shrinkToFit="1"/>
      <protection locked="0"/>
    </xf>
    <xf numFmtId="180" fontId="21" fillId="2" borderId="16" xfId="0" applyNumberFormat="1" applyFont="1" applyFill="1" applyBorder="1" applyAlignment="1" applyProtection="1">
      <alignment horizontal="center" vertical="center" shrinkToFit="1"/>
      <protection locked="0"/>
    </xf>
    <xf numFmtId="180" fontId="21" fillId="2" borderId="81" xfId="0" applyNumberFormat="1" applyFont="1" applyFill="1" applyBorder="1" applyAlignment="1" applyProtection="1">
      <alignment horizontal="center" vertical="center" shrinkToFit="1"/>
      <protection locked="0"/>
    </xf>
    <xf numFmtId="0" fontId="5" fillId="2" borderId="56" xfId="0" applyFont="1" applyFill="1" applyBorder="1" applyAlignment="1" applyProtection="1">
      <alignment horizontal="center" vertical="center" shrinkToFit="1"/>
      <protection locked="0"/>
    </xf>
    <xf numFmtId="0" fontId="5" fillId="2" borderId="96" xfId="0" applyFont="1" applyFill="1" applyBorder="1" applyAlignment="1" applyProtection="1">
      <alignment horizontal="center" vertical="center" shrinkToFit="1"/>
      <protection locked="0"/>
    </xf>
    <xf numFmtId="0" fontId="9" fillId="0" borderId="27" xfId="0" applyFont="1" applyBorder="1" applyAlignment="1">
      <alignment horizontal="center" vertical="center" wrapText="1" shrinkToFit="1"/>
    </xf>
    <xf numFmtId="0" fontId="9" fillId="0" borderId="36" xfId="0" applyFont="1" applyBorder="1" applyAlignment="1">
      <alignment horizontal="center" vertical="center" wrapText="1" shrinkToFit="1"/>
    </xf>
    <xf numFmtId="0" fontId="9" fillId="0" borderId="8" xfId="0" applyFont="1" applyBorder="1" applyAlignment="1">
      <alignment horizontal="center" vertical="center" wrapText="1" shrinkToFit="1"/>
    </xf>
    <xf numFmtId="0" fontId="9" fillId="0" borderId="35" xfId="0" applyFont="1" applyBorder="1" applyAlignment="1">
      <alignment horizontal="center" vertical="center" shrinkToFit="1"/>
    </xf>
    <xf numFmtId="0" fontId="9" fillId="0" borderId="56" xfId="0" applyFont="1" applyBorder="1" applyAlignment="1">
      <alignment horizontal="center" vertical="center" shrinkToFit="1"/>
    </xf>
    <xf numFmtId="0" fontId="9" fillId="0" borderId="0" xfId="0" applyFont="1" applyAlignment="1">
      <alignment horizontal="center" vertical="center" shrinkToFit="1"/>
    </xf>
    <xf numFmtId="0" fontId="9" fillId="0" borderId="50" xfId="0" applyFont="1" applyBorder="1" applyAlignment="1">
      <alignment horizontal="center" vertical="center" shrinkToFit="1"/>
    </xf>
    <xf numFmtId="0" fontId="9" fillId="0" borderId="45" xfId="0" applyFont="1" applyBorder="1" applyAlignment="1">
      <alignment horizontal="center" vertical="center" shrinkToFit="1"/>
    </xf>
    <xf numFmtId="56" fontId="4" fillId="0" borderId="17" xfId="0" applyNumberFormat="1" applyFont="1" applyBorder="1" applyAlignment="1">
      <alignment horizontal="center" vertical="center"/>
    </xf>
    <xf numFmtId="56" fontId="4" fillId="0" borderId="18" xfId="0" applyNumberFormat="1" applyFont="1" applyBorder="1" applyAlignment="1">
      <alignment horizontal="center" vertical="center"/>
    </xf>
    <xf numFmtId="56" fontId="4" fillId="0" borderId="15" xfId="0" applyNumberFormat="1"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vertical="center"/>
    </xf>
    <xf numFmtId="0" fontId="5" fillId="2" borderId="18" xfId="0" applyFont="1" applyFill="1" applyBorder="1" applyAlignment="1" applyProtection="1">
      <alignment horizontal="center" vertical="center" shrinkToFit="1"/>
      <protection locked="0"/>
    </xf>
    <xf numFmtId="0" fontId="5" fillId="2" borderId="69" xfId="0" applyFont="1" applyFill="1" applyBorder="1" applyAlignment="1" applyProtection="1">
      <alignment horizontal="center" vertical="center" shrinkToFit="1"/>
      <protection locked="0"/>
    </xf>
    <xf numFmtId="0" fontId="21" fillId="0" borderId="64" xfId="0" applyFont="1" applyBorder="1" applyAlignment="1">
      <alignment horizontal="center" vertical="center"/>
    </xf>
    <xf numFmtId="176" fontId="9" fillId="0" borderId="16" xfId="0" applyNumberFormat="1" applyFont="1" applyBorder="1" applyAlignment="1">
      <alignment horizontal="center" vertical="center"/>
    </xf>
    <xf numFmtId="176" fontId="9" fillId="0" borderId="19" xfId="0" applyNumberFormat="1" applyFont="1" applyBorder="1" applyAlignment="1">
      <alignment horizontal="center" vertical="center"/>
    </xf>
    <xf numFmtId="0" fontId="21" fillId="0" borderId="62" xfId="0" applyFont="1" applyBorder="1" applyAlignment="1">
      <alignment horizontal="center" vertical="center"/>
    </xf>
    <xf numFmtId="0" fontId="21" fillId="2" borderId="79" xfId="0" applyFont="1" applyFill="1" applyBorder="1" applyAlignment="1" applyProtection="1">
      <alignment horizontal="center" vertical="center" shrinkToFit="1"/>
      <protection locked="0"/>
    </xf>
    <xf numFmtId="0" fontId="21" fillId="2" borderId="9" xfId="0" applyFont="1" applyFill="1" applyBorder="1" applyAlignment="1" applyProtection="1">
      <alignment horizontal="center" vertical="center" shrinkToFit="1"/>
      <protection locked="0"/>
    </xf>
    <xf numFmtId="0" fontId="21" fillId="2" borderId="67" xfId="0" applyFont="1" applyFill="1" applyBorder="1" applyAlignment="1" applyProtection="1">
      <alignment horizontal="center" vertical="center" shrinkToFit="1"/>
      <protection locked="0"/>
    </xf>
    <xf numFmtId="0" fontId="21" fillId="2" borderId="16" xfId="0" applyFont="1" applyFill="1" applyBorder="1" applyAlignment="1" applyProtection="1">
      <alignment horizontal="center" vertical="center" shrinkToFit="1"/>
      <protection locked="0"/>
    </xf>
    <xf numFmtId="180" fontId="21" fillId="2" borderId="9" xfId="0" applyNumberFormat="1" applyFont="1" applyFill="1" applyBorder="1" applyAlignment="1" applyProtection="1">
      <alignment horizontal="center" vertical="center" shrinkToFit="1"/>
      <protection locked="0"/>
    </xf>
    <xf numFmtId="0" fontId="5" fillId="2" borderId="60" xfId="0" applyFont="1" applyFill="1" applyBorder="1" applyAlignment="1" applyProtection="1">
      <alignment horizontal="center" vertical="center" shrinkToFit="1"/>
      <protection locked="0"/>
    </xf>
    <xf numFmtId="0" fontId="5" fillId="2" borderId="66" xfId="0" applyFont="1" applyFill="1" applyBorder="1" applyAlignment="1" applyProtection="1">
      <alignment horizontal="center" vertical="center" shrinkToFit="1"/>
      <protection locked="0"/>
    </xf>
    <xf numFmtId="176" fontId="6" fillId="0" borderId="22" xfId="0" applyNumberFormat="1" applyFont="1" applyBorder="1" applyAlignment="1">
      <alignment horizontal="center" vertical="center"/>
    </xf>
    <xf numFmtId="0" fontId="6" fillId="0" borderId="22" xfId="0" applyFont="1" applyBorder="1" applyAlignment="1">
      <alignment horizontal="center" vertical="center"/>
    </xf>
    <xf numFmtId="0" fontId="6" fillId="0" borderId="25" xfId="0" applyFont="1" applyBorder="1" applyAlignment="1">
      <alignment horizontal="center" vertical="center"/>
    </xf>
    <xf numFmtId="0" fontId="14" fillId="0" borderId="33" xfId="0" applyFont="1" applyBorder="1" applyAlignment="1">
      <alignment horizontal="left"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176" fontId="10" fillId="0" borderId="94" xfId="0" applyNumberFormat="1" applyFont="1" applyBorder="1" applyAlignment="1">
      <alignment horizontal="center" vertical="center"/>
    </xf>
    <xf numFmtId="179" fontId="10" fillId="0" borderId="30" xfId="0" applyNumberFormat="1" applyFont="1" applyBorder="1" applyAlignment="1">
      <alignment horizontal="center" vertical="center"/>
    </xf>
    <xf numFmtId="179" fontId="10" fillId="0" borderId="29" xfId="0" applyNumberFormat="1" applyFont="1" applyBorder="1" applyAlignment="1">
      <alignment horizontal="center" vertical="center"/>
    </xf>
    <xf numFmtId="179" fontId="10" fillId="0" borderId="27" xfId="0" applyNumberFormat="1" applyFont="1" applyBorder="1" applyAlignment="1">
      <alignment horizontal="center" vertical="center"/>
    </xf>
    <xf numFmtId="179" fontId="10" fillId="0" borderId="8" xfId="0" applyNumberFormat="1" applyFont="1" applyBorder="1" applyAlignment="1">
      <alignment horizontal="center" vertical="center"/>
    </xf>
    <xf numFmtId="178" fontId="10" fillId="0" borderId="63" xfId="0" applyNumberFormat="1" applyFont="1" applyBorder="1" applyAlignment="1">
      <alignment horizontal="center" vertical="center"/>
    </xf>
    <xf numFmtId="178" fontId="10" fillId="0" borderId="15" xfId="0" applyNumberFormat="1" applyFont="1" applyBorder="1" applyAlignment="1">
      <alignment horizontal="center" vertical="center"/>
    </xf>
    <xf numFmtId="10" fontId="9" fillId="0" borderId="21" xfId="0" applyNumberFormat="1" applyFont="1" applyBorder="1" applyAlignment="1">
      <alignment horizontal="center" vertical="center"/>
    </xf>
    <xf numFmtId="10" fontId="9" fillId="0" borderId="22" xfId="0" applyNumberFormat="1" applyFont="1" applyBorder="1" applyAlignment="1">
      <alignment horizontal="center" vertical="center"/>
    </xf>
    <xf numFmtId="176" fontId="9" fillId="0" borderId="23" xfId="0" applyNumberFormat="1" applyFont="1" applyBorder="1" applyAlignment="1">
      <alignment horizontal="center" vertical="center"/>
    </xf>
    <xf numFmtId="176" fontId="9" fillId="0" borderId="24" xfId="0" applyNumberFormat="1" applyFont="1" applyBorder="1" applyAlignment="1">
      <alignment horizontal="center" vertical="center"/>
    </xf>
    <xf numFmtId="176" fontId="9" fillId="0" borderId="21" xfId="0" applyNumberFormat="1" applyFont="1" applyBorder="1" applyAlignment="1">
      <alignment horizontal="center" vertical="center"/>
    </xf>
    <xf numFmtId="176" fontId="9" fillId="0" borderId="22" xfId="0" applyNumberFormat="1" applyFont="1" applyBorder="1" applyAlignment="1">
      <alignment horizontal="center" vertical="center"/>
    </xf>
    <xf numFmtId="176" fontId="9" fillId="0" borderId="25" xfId="0" applyNumberFormat="1" applyFont="1" applyBorder="1" applyAlignment="1">
      <alignment horizontal="center" vertical="center"/>
    </xf>
    <xf numFmtId="0" fontId="7" fillId="0" borderId="0" xfId="0" applyFont="1" applyAlignment="1">
      <alignment horizontal="left" vertical="center"/>
    </xf>
    <xf numFmtId="0" fontId="4" fillId="0" borderId="75" xfId="0" applyFont="1" applyBorder="1" applyAlignment="1">
      <alignment horizontal="center" vertical="center" wrapText="1" shrinkToFit="1"/>
    </xf>
    <xf numFmtId="0" fontId="4" fillId="0" borderId="65" xfId="0" applyFont="1" applyBorder="1" applyAlignment="1">
      <alignment horizontal="center" vertical="center" wrapText="1" shrinkToFit="1"/>
    </xf>
    <xf numFmtId="10" fontId="9" fillId="0" borderId="8" xfId="0" applyNumberFormat="1" applyFont="1" applyBorder="1" applyAlignment="1">
      <alignment horizontal="center" vertical="center"/>
    </xf>
    <xf numFmtId="10" fontId="9" fillId="0" borderId="9" xfId="0" applyNumberFormat="1" applyFont="1" applyBorder="1" applyAlignment="1">
      <alignment horizontal="center" vertical="center"/>
    </xf>
    <xf numFmtId="176" fontId="9" fillId="0" borderId="10" xfId="0" applyNumberFormat="1" applyFont="1" applyBorder="1" applyAlignment="1">
      <alignment horizontal="center" vertical="center"/>
    </xf>
    <xf numFmtId="176" fontId="9" fillId="0" borderId="11" xfId="0" applyNumberFormat="1" applyFont="1" applyBorder="1" applyAlignment="1">
      <alignment horizontal="center" vertical="center"/>
    </xf>
    <xf numFmtId="176" fontId="9" fillId="0" borderId="12" xfId="0" applyNumberFormat="1" applyFont="1" applyBorder="1" applyAlignment="1">
      <alignment horizontal="center" vertical="center"/>
    </xf>
    <xf numFmtId="176" fontId="9" fillId="0" borderId="9" xfId="0" applyNumberFormat="1" applyFont="1" applyBorder="1" applyAlignment="1">
      <alignment horizontal="center" vertical="center"/>
    </xf>
    <xf numFmtId="176" fontId="9" fillId="0" borderId="13" xfId="0" applyNumberFormat="1" applyFont="1" applyBorder="1" applyAlignment="1">
      <alignment horizontal="center" vertical="center"/>
    </xf>
    <xf numFmtId="10" fontId="9" fillId="0" borderId="15" xfId="0" applyNumberFormat="1" applyFont="1" applyBorder="1" applyAlignment="1">
      <alignment horizontal="center" vertical="center"/>
    </xf>
    <xf numFmtId="10" fontId="9" fillId="0" borderId="16" xfId="0" applyNumberFormat="1" applyFont="1" applyBorder="1" applyAlignment="1">
      <alignment horizontal="center" vertical="center"/>
    </xf>
    <xf numFmtId="176" fontId="9" fillId="0" borderId="17" xfId="0" applyNumberFormat="1" applyFont="1" applyBorder="1" applyAlignment="1">
      <alignment horizontal="center" vertical="center"/>
    </xf>
    <xf numFmtId="176" fontId="9" fillId="0" borderId="18" xfId="0" applyNumberFormat="1" applyFont="1" applyBorder="1" applyAlignment="1">
      <alignment horizontal="center" vertical="center"/>
    </xf>
    <xf numFmtId="176" fontId="9" fillId="0" borderId="15" xfId="0" applyNumberFormat="1" applyFont="1" applyBorder="1" applyAlignment="1">
      <alignment horizontal="center" vertical="center"/>
    </xf>
    <xf numFmtId="0" fontId="21" fillId="2" borderId="79" xfId="0" applyFont="1" applyFill="1" applyBorder="1" applyAlignment="1">
      <alignment horizontal="center" vertical="center" shrinkToFit="1"/>
    </xf>
    <xf numFmtId="0" fontId="21" fillId="2" borderId="9" xfId="0" applyFont="1" applyFill="1" applyBorder="1" applyAlignment="1">
      <alignment horizontal="center" vertical="center" shrinkToFit="1"/>
    </xf>
    <xf numFmtId="0" fontId="21" fillId="2" borderId="67" xfId="0" applyFont="1" applyFill="1" applyBorder="1" applyAlignment="1">
      <alignment horizontal="center" vertical="center" shrinkToFit="1"/>
    </xf>
    <xf numFmtId="0" fontId="21" fillId="2" borderId="16" xfId="0" applyFont="1" applyFill="1" applyBorder="1" applyAlignment="1">
      <alignment horizontal="center" vertical="center" shrinkToFit="1"/>
    </xf>
    <xf numFmtId="180" fontId="21" fillId="2" borderId="9" xfId="0" applyNumberFormat="1" applyFont="1" applyFill="1" applyBorder="1" applyAlignment="1">
      <alignment horizontal="center" vertical="center" shrinkToFit="1"/>
    </xf>
    <xf numFmtId="180" fontId="21" fillId="2" borderId="16" xfId="0" applyNumberFormat="1" applyFont="1" applyFill="1" applyBorder="1" applyAlignment="1">
      <alignment horizontal="center" vertical="center" shrinkToFit="1"/>
    </xf>
    <xf numFmtId="0" fontId="5" fillId="2" borderId="60" xfId="0" applyFont="1" applyFill="1" applyBorder="1" applyAlignment="1">
      <alignment horizontal="center" vertical="center" shrinkToFit="1"/>
    </xf>
    <xf numFmtId="0" fontId="5" fillId="2" borderId="66" xfId="0" applyFont="1" applyFill="1" applyBorder="1" applyAlignment="1">
      <alignment horizontal="center" vertical="center" shrinkToFit="1"/>
    </xf>
    <xf numFmtId="0" fontId="21" fillId="2" borderId="67" xfId="0" applyFont="1" applyFill="1" applyBorder="1" applyAlignment="1">
      <alignment horizontal="center" vertical="center" wrapText="1" shrinkToFit="1"/>
    </xf>
    <xf numFmtId="0" fontId="21" fillId="2" borderId="16" xfId="0" applyFont="1" applyFill="1" applyBorder="1" applyAlignment="1">
      <alignment horizontal="center" vertical="center" wrapText="1" shrinkToFit="1"/>
    </xf>
    <xf numFmtId="0" fontId="5" fillId="2" borderId="18" xfId="0" applyFont="1" applyFill="1" applyBorder="1" applyAlignment="1">
      <alignment horizontal="center" vertical="center" shrinkToFit="1"/>
    </xf>
    <xf numFmtId="0" fontId="5" fillId="2" borderId="69" xfId="0" applyFont="1" applyFill="1" applyBorder="1" applyAlignment="1">
      <alignment horizontal="center" vertical="center" shrinkToFit="1"/>
    </xf>
    <xf numFmtId="0" fontId="21" fillId="2" borderId="80" xfId="0" applyFont="1" applyFill="1" applyBorder="1" applyAlignment="1">
      <alignment horizontal="center" vertical="center" wrapText="1" shrinkToFit="1"/>
    </xf>
    <xf numFmtId="0" fontId="21" fillId="2" borderId="81" xfId="0" applyFont="1" applyFill="1" applyBorder="1" applyAlignment="1">
      <alignment horizontal="center" vertical="center" wrapText="1" shrinkToFit="1"/>
    </xf>
    <xf numFmtId="180" fontId="21" fillId="2" borderId="81" xfId="0" applyNumberFormat="1" applyFont="1" applyFill="1" applyBorder="1" applyAlignment="1">
      <alignment horizontal="center" vertical="center" shrinkToFit="1"/>
    </xf>
    <xf numFmtId="0" fontId="5" fillId="2" borderId="56" xfId="0" applyFont="1" applyFill="1" applyBorder="1" applyAlignment="1">
      <alignment horizontal="center" vertical="center" shrinkToFit="1"/>
    </xf>
    <xf numFmtId="0" fontId="5" fillId="2" borderId="96" xfId="0" applyFont="1" applyFill="1" applyBorder="1" applyAlignment="1">
      <alignment horizontal="center" vertical="center" shrinkToFit="1"/>
    </xf>
    <xf numFmtId="3" fontId="9" fillId="2" borderId="79" xfId="0" applyNumberFormat="1" applyFont="1" applyFill="1" applyBorder="1" applyAlignment="1">
      <alignment horizontal="center" vertical="center" shrinkToFit="1"/>
    </xf>
    <xf numFmtId="3" fontId="9" fillId="2" borderId="9" xfId="0" applyNumberFormat="1" applyFont="1" applyFill="1" applyBorder="1" applyAlignment="1">
      <alignment horizontal="center" vertical="center" shrinkToFit="1"/>
    </xf>
    <xf numFmtId="3" fontId="9" fillId="2" borderId="9" xfId="0" applyNumberFormat="1" applyFont="1" applyFill="1" applyBorder="1" applyAlignment="1">
      <alignment horizontal="center" vertical="center"/>
    </xf>
    <xf numFmtId="3" fontId="9" fillId="2" borderId="83" xfId="0" applyNumberFormat="1" applyFont="1" applyFill="1" applyBorder="1" applyAlignment="1">
      <alignment horizontal="center" vertical="center"/>
    </xf>
    <xf numFmtId="3" fontId="9" fillId="2" borderId="67" xfId="0" applyNumberFormat="1" applyFont="1" applyFill="1" applyBorder="1" applyAlignment="1">
      <alignment horizontal="center" vertical="center" shrinkToFit="1"/>
    </xf>
    <xf numFmtId="3" fontId="9" fillId="2" borderId="16" xfId="0" applyNumberFormat="1" applyFont="1" applyFill="1" applyBorder="1" applyAlignment="1">
      <alignment horizontal="center" vertical="center" shrinkToFit="1"/>
    </xf>
    <xf numFmtId="3" fontId="9" fillId="2" borderId="16" xfId="0" applyNumberFormat="1" applyFont="1" applyFill="1" applyBorder="1" applyAlignment="1">
      <alignment horizontal="center" vertical="center"/>
    </xf>
    <xf numFmtId="3" fontId="9" fillId="2" borderId="68" xfId="0" applyNumberFormat="1" applyFont="1" applyFill="1" applyBorder="1" applyAlignment="1">
      <alignment horizontal="center" vertical="center"/>
    </xf>
    <xf numFmtId="3" fontId="9" fillId="2" borderId="80" xfId="0" applyNumberFormat="1" applyFont="1" applyFill="1" applyBorder="1" applyAlignment="1">
      <alignment horizontal="center" vertical="center" shrinkToFit="1"/>
    </xf>
    <xf numFmtId="3" fontId="9" fillId="2" borderId="81" xfId="0" applyNumberFormat="1" applyFont="1" applyFill="1" applyBorder="1" applyAlignment="1">
      <alignment horizontal="center" vertical="center" shrinkToFit="1"/>
    </xf>
    <xf numFmtId="3" fontId="9" fillId="2" borderId="81" xfId="0" applyNumberFormat="1" applyFont="1" applyFill="1" applyBorder="1" applyAlignment="1">
      <alignment horizontal="center" vertical="center"/>
    </xf>
    <xf numFmtId="3" fontId="9" fillId="2" borderId="84" xfId="0" applyNumberFormat="1" applyFont="1" applyFill="1" applyBorder="1" applyAlignment="1">
      <alignment horizontal="center" vertical="center"/>
    </xf>
    <xf numFmtId="176" fontId="10" fillId="0" borderId="17" xfId="0" applyNumberFormat="1" applyFont="1" applyBorder="1" applyAlignment="1" applyProtection="1">
      <alignment horizontal="center" vertical="center"/>
      <protection hidden="1"/>
    </xf>
    <xf numFmtId="176" fontId="10" fillId="0" borderId="57" xfId="0" applyNumberFormat="1" applyFont="1" applyBorder="1" applyAlignment="1" applyProtection="1">
      <alignment horizontal="center" vertical="center"/>
      <protection hidden="1"/>
    </xf>
    <xf numFmtId="178" fontId="10" fillId="0" borderId="63" xfId="0" applyNumberFormat="1" applyFont="1" applyBorder="1" applyAlignment="1" applyProtection="1">
      <alignment horizontal="center" vertical="center"/>
      <protection hidden="1"/>
    </xf>
    <xf numFmtId="178" fontId="10" fillId="0" borderId="15" xfId="0" applyNumberFormat="1" applyFont="1" applyBorder="1" applyAlignment="1" applyProtection="1">
      <alignment horizontal="center" vertical="center"/>
      <protection hidden="1"/>
    </xf>
    <xf numFmtId="176" fontId="10" fillId="0" borderId="30" xfId="0" applyNumberFormat="1" applyFont="1" applyBorder="1" applyAlignment="1" applyProtection="1">
      <alignment horizontal="center" vertical="center"/>
      <protection hidden="1"/>
    </xf>
    <xf numFmtId="176" fontId="10" fillId="0" borderId="94" xfId="0" applyNumberFormat="1" applyFont="1" applyBorder="1" applyAlignment="1" applyProtection="1">
      <alignment horizontal="center" vertical="center"/>
      <protection hidden="1"/>
    </xf>
    <xf numFmtId="178" fontId="10" fillId="0" borderId="40" xfId="0" applyNumberFormat="1" applyFont="1" applyBorder="1" applyAlignment="1" applyProtection="1">
      <alignment horizontal="center" vertical="center"/>
      <protection hidden="1"/>
    </xf>
    <xf numFmtId="178" fontId="10" fillId="0" borderId="22" xfId="0" applyNumberFormat="1" applyFont="1" applyBorder="1" applyAlignment="1" applyProtection="1">
      <alignment horizontal="center" vertical="center"/>
      <protection hidden="1"/>
    </xf>
    <xf numFmtId="179" fontId="10" fillId="0" borderId="23" xfId="0" applyNumberFormat="1" applyFont="1" applyBorder="1" applyAlignment="1" applyProtection="1">
      <alignment horizontal="center" vertical="center"/>
      <protection hidden="1"/>
    </xf>
    <xf numFmtId="179" fontId="10" fillId="0" borderId="21" xfId="0" applyNumberFormat="1" applyFont="1" applyBorder="1" applyAlignment="1" applyProtection="1">
      <alignment horizontal="center" vertical="center"/>
      <protection hidden="1"/>
    </xf>
    <xf numFmtId="176" fontId="10" fillId="0" borderId="23" xfId="0" applyNumberFormat="1" applyFont="1" applyBorder="1" applyAlignment="1" applyProtection="1">
      <alignment horizontal="center" vertical="center"/>
      <protection hidden="1"/>
    </xf>
    <xf numFmtId="176" fontId="10" fillId="0" borderId="61" xfId="0" applyNumberFormat="1" applyFont="1" applyBorder="1" applyAlignment="1" applyProtection="1">
      <alignment horizontal="center" vertical="center"/>
      <protection hidden="1"/>
    </xf>
    <xf numFmtId="178" fontId="10" fillId="0" borderId="39" xfId="0" applyNumberFormat="1" applyFont="1" applyBorder="1" applyAlignment="1" applyProtection="1">
      <alignment horizontal="center" vertical="center"/>
      <protection hidden="1"/>
    </xf>
    <xf numFmtId="178" fontId="10" fillId="0" borderId="16" xfId="0" applyNumberFormat="1" applyFont="1" applyBorder="1" applyAlignment="1" applyProtection="1">
      <alignment horizontal="center" vertical="center"/>
      <protection hidden="1"/>
    </xf>
    <xf numFmtId="176" fontId="10" fillId="0" borderId="16" xfId="0" applyNumberFormat="1" applyFont="1" applyBorder="1" applyAlignment="1" applyProtection="1">
      <alignment horizontal="center" vertical="center"/>
      <protection hidden="1"/>
    </xf>
    <xf numFmtId="176" fontId="10" fillId="0" borderId="28" xfId="0" applyNumberFormat="1" applyFont="1" applyBorder="1" applyAlignment="1" applyProtection="1">
      <alignment horizontal="center" vertical="center"/>
      <protection hidden="1"/>
    </xf>
    <xf numFmtId="176" fontId="10" fillId="0" borderId="22" xfId="0" applyNumberFormat="1" applyFont="1" applyBorder="1" applyAlignment="1" applyProtection="1">
      <alignment horizontal="center" vertical="center"/>
      <protection hidden="1"/>
    </xf>
    <xf numFmtId="176" fontId="10" fillId="0" borderId="29" xfId="0" applyNumberFormat="1" applyFont="1" applyBorder="1" applyAlignment="1" applyProtection="1">
      <alignment horizontal="center" vertical="center"/>
      <protection hidden="1"/>
    </xf>
    <xf numFmtId="176" fontId="10" fillId="0" borderId="35" xfId="0" applyNumberFormat="1" applyFont="1" applyBorder="1" applyAlignment="1" applyProtection="1">
      <alignment horizontal="center" vertical="center"/>
      <protection hidden="1"/>
    </xf>
    <xf numFmtId="176" fontId="10" fillId="0" borderId="34" xfId="0" applyNumberFormat="1" applyFont="1" applyBorder="1" applyAlignment="1" applyProtection="1">
      <alignment horizontal="center" vertical="center"/>
      <protection hidden="1"/>
    </xf>
    <xf numFmtId="176" fontId="10" fillId="0" borderId="50" xfId="0" applyNumberFormat="1" applyFont="1" applyBorder="1" applyAlignment="1" applyProtection="1">
      <alignment horizontal="center" vertical="center"/>
      <protection hidden="1"/>
    </xf>
    <xf numFmtId="176" fontId="10" fillId="0" borderId="49" xfId="0" applyNumberFormat="1" applyFont="1" applyBorder="1" applyAlignment="1" applyProtection="1">
      <alignment horizontal="center" vertical="center"/>
      <protection hidden="1"/>
    </xf>
    <xf numFmtId="179" fontId="10" fillId="0" borderId="30" xfId="0" applyNumberFormat="1" applyFont="1" applyBorder="1" applyAlignment="1" applyProtection="1">
      <alignment horizontal="center" vertical="center"/>
      <protection hidden="1"/>
    </xf>
    <xf numFmtId="179" fontId="10" fillId="0" borderId="29" xfId="0" applyNumberFormat="1" applyFont="1" applyBorder="1" applyAlignment="1" applyProtection="1">
      <alignment horizontal="center" vertical="center"/>
      <protection hidden="1"/>
    </xf>
    <xf numFmtId="179" fontId="10" fillId="0" borderId="27" xfId="0" applyNumberFormat="1" applyFont="1" applyBorder="1" applyAlignment="1" applyProtection="1">
      <alignment horizontal="center" vertical="center"/>
      <protection hidden="1"/>
    </xf>
    <xf numFmtId="179" fontId="10" fillId="0" borderId="8" xfId="0" applyNumberFormat="1" applyFont="1" applyBorder="1" applyAlignment="1" applyProtection="1">
      <alignment horizontal="center" vertical="center"/>
      <protection hidden="1"/>
    </xf>
    <xf numFmtId="176" fontId="10" fillId="0" borderId="27" xfId="0" applyNumberFormat="1" applyFont="1" applyBorder="1" applyAlignment="1" applyProtection="1">
      <alignment horizontal="center" vertical="center" shrinkToFit="1"/>
      <protection hidden="1"/>
    </xf>
    <xf numFmtId="176" fontId="10" fillId="0" borderId="36" xfId="0" applyNumberFormat="1" applyFont="1" applyBorder="1" applyAlignment="1" applyProtection="1">
      <alignment horizontal="center" vertical="center" shrinkToFit="1"/>
      <protection hidden="1"/>
    </xf>
    <xf numFmtId="176" fontId="10" fillId="0" borderId="8" xfId="0" applyNumberFormat="1" applyFont="1" applyBorder="1" applyAlignment="1" applyProtection="1">
      <alignment horizontal="center" vertical="center" shrinkToFit="1"/>
      <protection hidden="1"/>
    </xf>
    <xf numFmtId="176" fontId="10" fillId="0" borderId="88" xfId="1" applyNumberFormat="1" applyFont="1" applyFill="1" applyBorder="1" applyAlignment="1" applyProtection="1">
      <alignment horizontal="center" vertical="center" shrinkToFit="1"/>
      <protection hidden="1"/>
    </xf>
    <xf numFmtId="176" fontId="10" fillId="0" borderId="58" xfId="1" applyNumberFormat="1" applyFont="1" applyFill="1" applyBorder="1" applyAlignment="1" applyProtection="1">
      <alignment horizontal="center" vertical="center" shrinkToFit="1"/>
      <protection hidden="1"/>
    </xf>
    <xf numFmtId="176" fontId="10" fillId="0" borderId="60" xfId="1" applyNumberFormat="1" applyFont="1" applyFill="1" applyBorder="1" applyAlignment="1" applyProtection="1">
      <alignment horizontal="center" vertical="center" shrinkToFit="1"/>
      <protection hidden="1"/>
    </xf>
    <xf numFmtId="176" fontId="10" fillId="0" borderId="93" xfId="1" applyNumberFormat="1" applyFont="1" applyFill="1" applyBorder="1" applyAlignment="1" applyProtection="1">
      <alignment horizontal="center" vertical="center" shrinkToFit="1"/>
      <protection hidden="1"/>
    </xf>
    <xf numFmtId="176" fontId="10" fillId="0" borderId="87" xfId="1" applyNumberFormat="1" applyFont="1" applyFill="1" applyBorder="1" applyAlignment="1" applyProtection="1">
      <alignment horizontal="center" vertical="center" shrinkToFit="1"/>
      <protection hidden="1"/>
    </xf>
    <xf numFmtId="176" fontId="10" fillId="0" borderId="99" xfId="1" applyNumberFormat="1" applyFont="1" applyFill="1" applyBorder="1" applyAlignment="1" applyProtection="1">
      <alignment horizontal="center" vertical="center" shrinkToFit="1"/>
      <protection hidden="1"/>
    </xf>
    <xf numFmtId="176" fontId="10" fillId="0" borderId="17" xfId="1" applyNumberFormat="1" applyFont="1" applyFill="1" applyBorder="1" applyAlignment="1" applyProtection="1">
      <alignment horizontal="center" vertical="center" shrinkToFit="1"/>
      <protection hidden="1"/>
    </xf>
    <xf numFmtId="176" fontId="10" fillId="0" borderId="57" xfId="1" applyNumberFormat="1" applyFont="1" applyFill="1" applyBorder="1" applyAlignment="1" applyProtection="1">
      <alignment horizontal="center" vertical="center" shrinkToFit="1"/>
      <protection hidden="1"/>
    </xf>
    <xf numFmtId="176" fontId="10" fillId="0" borderId="17" xfId="0" applyNumberFormat="1" applyFont="1" applyBorder="1" applyAlignment="1" applyProtection="1">
      <alignment horizontal="center" vertical="center" shrinkToFit="1"/>
      <protection hidden="1"/>
    </xf>
    <xf numFmtId="176" fontId="10" fillId="0" borderId="18" xfId="0" applyNumberFormat="1" applyFont="1" applyBorder="1" applyAlignment="1" applyProtection="1">
      <alignment horizontal="center" vertical="center" shrinkToFit="1"/>
      <protection hidden="1"/>
    </xf>
    <xf numFmtId="176" fontId="10" fillId="0" borderId="15" xfId="0" applyNumberFormat="1" applyFont="1" applyBorder="1" applyAlignment="1" applyProtection="1">
      <alignment horizontal="center" vertical="center" shrinkToFit="1"/>
      <protection hidden="1"/>
    </xf>
    <xf numFmtId="176" fontId="10" fillId="0" borderId="16" xfId="1" applyNumberFormat="1" applyFont="1" applyFill="1" applyBorder="1" applyAlignment="1" applyProtection="1">
      <alignment horizontal="center" vertical="center" shrinkToFit="1"/>
      <protection hidden="1"/>
    </xf>
    <xf numFmtId="176" fontId="10" fillId="0" borderId="18" xfId="1" applyNumberFormat="1" applyFont="1" applyFill="1" applyBorder="1" applyAlignment="1" applyProtection="1">
      <alignment horizontal="center" vertical="center" shrinkToFit="1"/>
      <protection hidden="1"/>
    </xf>
    <xf numFmtId="176" fontId="10" fillId="0" borderId="15" xfId="1" applyNumberFormat="1" applyFont="1" applyFill="1" applyBorder="1" applyAlignment="1" applyProtection="1">
      <alignment horizontal="center" vertical="center" shrinkToFit="1"/>
      <protection hidden="1"/>
    </xf>
    <xf numFmtId="176" fontId="10" fillId="0" borderId="27" xfId="1" applyNumberFormat="1" applyFont="1" applyFill="1" applyBorder="1" applyAlignment="1" applyProtection="1">
      <alignment horizontal="center" vertical="center" shrinkToFit="1"/>
      <protection hidden="1"/>
    </xf>
    <xf numFmtId="176" fontId="10" fillId="0" borderId="100" xfId="1" applyNumberFormat="1" applyFont="1" applyFill="1" applyBorder="1" applyAlignment="1" applyProtection="1">
      <alignment horizontal="center" vertical="center" shrinkToFit="1"/>
      <protection hidden="1"/>
    </xf>
    <xf numFmtId="176" fontId="10" fillId="0" borderId="30" xfId="0" applyNumberFormat="1" applyFont="1" applyBorder="1" applyAlignment="1" applyProtection="1">
      <alignment horizontal="center" vertical="center" shrinkToFit="1"/>
      <protection hidden="1"/>
    </xf>
    <xf numFmtId="176" fontId="10" fillId="0" borderId="56" xfId="0" applyNumberFormat="1" applyFont="1" applyBorder="1" applyAlignment="1" applyProtection="1">
      <alignment horizontal="center" vertical="center" shrinkToFit="1"/>
      <protection hidden="1"/>
    </xf>
    <xf numFmtId="176" fontId="10" fillId="0" borderId="29" xfId="0" applyNumberFormat="1" applyFont="1" applyBorder="1" applyAlignment="1" applyProtection="1">
      <alignment horizontal="center" vertical="center" shrinkToFit="1"/>
      <protection hidden="1"/>
    </xf>
    <xf numFmtId="176" fontId="10" fillId="0" borderId="28" xfId="1" applyNumberFormat="1" applyFont="1" applyFill="1" applyBorder="1" applyAlignment="1" applyProtection="1">
      <alignment horizontal="center" vertical="center" shrinkToFit="1"/>
      <protection hidden="1"/>
    </xf>
    <xf numFmtId="176" fontId="10" fillId="0" borderId="30" xfId="1" applyNumberFormat="1" applyFont="1" applyFill="1" applyBorder="1" applyAlignment="1" applyProtection="1">
      <alignment horizontal="center" vertical="center" shrinkToFit="1"/>
      <protection hidden="1"/>
    </xf>
    <xf numFmtId="176" fontId="10" fillId="0" borderId="56" xfId="1" applyNumberFormat="1" applyFont="1" applyFill="1" applyBorder="1" applyAlignment="1" applyProtection="1">
      <alignment horizontal="center" vertical="center" shrinkToFit="1"/>
      <protection hidden="1"/>
    </xf>
    <xf numFmtId="176" fontId="10" fillId="0" borderId="29" xfId="1" applyNumberFormat="1" applyFont="1" applyFill="1" applyBorder="1" applyAlignment="1" applyProtection="1">
      <alignment horizontal="center" vertical="center" shrinkToFit="1"/>
      <protection hidden="1"/>
    </xf>
    <xf numFmtId="176" fontId="10" fillId="0" borderId="94" xfId="1" applyNumberFormat="1" applyFont="1" applyFill="1" applyBorder="1" applyAlignment="1" applyProtection="1">
      <alignment horizontal="center" vertical="center" shrinkToFit="1"/>
      <protection hidden="1"/>
    </xf>
    <xf numFmtId="176" fontId="20" fillId="0" borderId="44" xfId="0" applyNumberFormat="1" applyFont="1" applyBorder="1" applyAlignment="1" applyProtection="1">
      <alignment horizontal="center" vertical="center"/>
      <protection hidden="1"/>
    </xf>
    <xf numFmtId="176" fontId="20" fillId="0" borderId="45" xfId="0" applyNumberFormat="1" applyFont="1" applyBorder="1" applyAlignment="1" applyProtection="1">
      <alignment horizontal="center" vertical="center"/>
      <protection hidden="1"/>
    </xf>
    <xf numFmtId="176" fontId="20" fillId="0" borderId="49" xfId="0" applyNumberFormat="1" applyFont="1" applyBorder="1" applyAlignment="1" applyProtection="1">
      <alignment horizontal="center" vertical="center"/>
      <protection hidden="1"/>
    </xf>
    <xf numFmtId="176" fontId="20" fillId="0" borderId="50" xfId="0" applyNumberFormat="1" applyFont="1" applyBorder="1" applyAlignment="1" applyProtection="1">
      <alignment horizontal="center" vertical="center"/>
      <protection hidden="1"/>
    </xf>
    <xf numFmtId="176" fontId="22" fillId="0" borderId="23" xfId="0" applyNumberFormat="1" applyFont="1" applyBorder="1" applyAlignment="1" applyProtection="1">
      <alignment horizontal="center" vertical="center"/>
      <protection hidden="1"/>
    </xf>
    <xf numFmtId="176" fontId="22" fillId="0" borderId="24" xfId="0" applyNumberFormat="1" applyFont="1" applyBorder="1" applyAlignment="1" applyProtection="1">
      <alignment horizontal="center" vertical="center"/>
      <protection hidden="1"/>
    </xf>
    <xf numFmtId="176" fontId="22" fillId="0" borderId="21" xfId="0" applyNumberFormat="1" applyFont="1" applyBorder="1" applyAlignment="1" applyProtection="1">
      <alignment horizontal="center" vertical="center"/>
      <protection hidden="1"/>
    </xf>
    <xf numFmtId="176" fontId="16" fillId="0" borderId="23" xfId="0" applyNumberFormat="1" applyFont="1" applyBorder="1" applyAlignment="1" applyProtection="1">
      <alignment horizontal="center" vertical="center"/>
      <protection hidden="1"/>
    </xf>
    <xf numFmtId="176" fontId="16" fillId="0" borderId="24" xfId="0" applyNumberFormat="1" applyFont="1" applyBorder="1" applyAlignment="1" applyProtection="1">
      <alignment horizontal="center" vertical="center"/>
      <protection hidden="1"/>
    </xf>
    <xf numFmtId="176" fontId="16" fillId="0" borderId="61" xfId="0" applyNumberFormat="1" applyFont="1" applyBorder="1" applyAlignment="1" applyProtection="1">
      <alignment horizontal="center" vertical="center"/>
      <protection hidden="1"/>
    </xf>
  </cellXfs>
  <cellStyles count="2">
    <cellStyle name="桁区切り" xfId="1" builtinId="6"/>
    <cellStyle name="標準" xfId="0" builtinId="0"/>
  </cellStyles>
  <dxfs count="8">
    <dxf>
      <fill>
        <patternFill>
          <bgColor theme="9" tint="0.39994506668294322"/>
        </patternFill>
      </fill>
    </dxf>
    <dxf>
      <fill>
        <patternFill>
          <bgColor rgb="FFFFFF00"/>
        </patternFill>
      </fill>
    </dxf>
    <dxf>
      <fill>
        <patternFill>
          <bgColor theme="5" tint="0.39994506668294322"/>
        </patternFill>
      </fill>
    </dxf>
    <dxf>
      <fill>
        <patternFill>
          <bgColor theme="5" tint="0.39994506668294322"/>
        </patternFill>
      </fill>
    </dxf>
    <dxf>
      <fill>
        <patternFill>
          <bgColor theme="9" tint="0.39994506668294322"/>
        </patternFill>
      </fill>
    </dxf>
    <dxf>
      <fill>
        <patternFill>
          <bgColor rgb="FFFFFF00"/>
        </patternFill>
      </fill>
    </dxf>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746449</xdr:colOff>
      <xdr:row>4</xdr:row>
      <xdr:rowOff>85530</xdr:rowOff>
    </xdr:from>
    <xdr:to>
      <xdr:col>11</xdr:col>
      <xdr:colOff>499645</xdr:colOff>
      <xdr:row>11</xdr:row>
      <xdr:rowOff>24996</xdr:rowOff>
    </xdr:to>
    <xdr:sp macro="" textlink="">
      <xdr:nvSpPr>
        <xdr:cNvPr id="2" name="テキスト ボックス 1">
          <a:extLst>
            <a:ext uri="{FF2B5EF4-FFF2-40B4-BE49-F238E27FC236}">
              <a16:creationId xmlns:a16="http://schemas.microsoft.com/office/drawing/2014/main" id="{07749704-69B0-4CA7-9E1C-B0195179098F}"/>
            </a:ext>
          </a:extLst>
        </xdr:cNvPr>
        <xdr:cNvSpPr txBox="1"/>
      </xdr:nvSpPr>
      <xdr:spPr>
        <a:xfrm>
          <a:off x="979714" y="1780591"/>
          <a:ext cx="6797809" cy="2023303"/>
        </a:xfrm>
        <a:prstGeom prst="wedgeRoundRectCallout">
          <a:avLst>
            <a:gd name="adj1" fmla="val -26821"/>
            <a:gd name="adj2" fmla="val 73214"/>
            <a:gd name="adj3" fmla="val 16667"/>
          </a:avLst>
        </a:prstGeom>
        <a:solidFill>
          <a:sysClr val="window" lastClr="FFFFFF"/>
        </a:solidFill>
        <a:ln w="38100" cmpd="sng">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ステップ①</a:t>
          </a:r>
          <a:endParaRPr kumimoji="1" lang="en-US" altLang="ja-JP" sz="16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　国民健康保険の被保険者が属する世帯の世帯主と、被保険者の氏名・生年月日・各月の健康保険の加入状況を入力してください。社会保険に加入している世帯員は入力する必要がありません。</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・国保</a:t>
          </a:r>
          <a:r>
            <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世帯主及び世帯員で、国民健康保険に加入している方</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・社保</a:t>
          </a:r>
          <a:r>
            <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世帯主で、社会保険に加入している方</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・後期</a:t>
          </a:r>
          <a:r>
            <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世帯主で、満８３歳以上の方</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・（特）後期</a:t>
          </a:r>
          <a:r>
            <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世帯主及び世帯員で、後期高齢者医療保険に加入している滿８２歳以下の方</a:t>
          </a:r>
        </a:p>
      </xdr:txBody>
    </xdr:sp>
    <xdr:clientData/>
  </xdr:twoCellAnchor>
  <xdr:twoCellAnchor>
    <xdr:from>
      <xdr:col>12</xdr:col>
      <xdr:colOff>264368</xdr:colOff>
      <xdr:row>4</xdr:row>
      <xdr:rowOff>62204</xdr:rowOff>
    </xdr:from>
    <xdr:to>
      <xdr:col>17</xdr:col>
      <xdr:colOff>60672</xdr:colOff>
      <xdr:row>10</xdr:row>
      <xdr:rowOff>163011</xdr:rowOff>
    </xdr:to>
    <xdr:sp macro="" textlink="">
      <xdr:nvSpPr>
        <xdr:cNvPr id="3" name="テキスト ボックス 2">
          <a:extLst>
            <a:ext uri="{FF2B5EF4-FFF2-40B4-BE49-F238E27FC236}">
              <a16:creationId xmlns:a16="http://schemas.microsoft.com/office/drawing/2014/main" id="{E02B10FA-A135-4FC4-9F0E-B321617E422F}"/>
            </a:ext>
          </a:extLst>
        </xdr:cNvPr>
        <xdr:cNvSpPr txBox="1"/>
      </xdr:nvSpPr>
      <xdr:spPr>
        <a:xfrm>
          <a:off x="8117633" y="1757265"/>
          <a:ext cx="2673243" cy="1982481"/>
        </a:xfrm>
        <a:prstGeom prst="wedgeRoundRectCallout">
          <a:avLst>
            <a:gd name="adj1" fmla="val 73669"/>
            <a:gd name="adj2" fmla="val 75150"/>
            <a:gd name="adj3" fmla="val 16667"/>
          </a:avLst>
        </a:prstGeom>
        <a:solidFill>
          <a:sysClr val="window" lastClr="FFFFFF"/>
        </a:solidFill>
        <a:ln w="38100" cmpd="sng">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ステップ②</a:t>
          </a:r>
          <a:endParaRPr kumimoji="1" lang="en-US" altLang="ja-JP" sz="16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　既に被保険者がいる世帯内に、追加で加入する場合、追加する方に「</a:t>
          </a:r>
          <a:r>
            <a:rPr kumimoji="1" lang="ja-JP" altLang="en-US" sz="1200" b="1" i="0" u="none" strike="noStrike" kern="0" cap="none" spc="0" normalizeH="0" baseline="0" noProof="0">
              <a:ln>
                <a:noFill/>
              </a:ln>
              <a:solidFill>
                <a:srgbClr val="FF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」を入力してください。</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xdr:txBody>
    </xdr:sp>
    <xdr:clientData/>
  </xdr:twoCellAnchor>
  <xdr:twoCellAnchor>
    <xdr:from>
      <xdr:col>17</xdr:col>
      <xdr:colOff>295470</xdr:colOff>
      <xdr:row>4</xdr:row>
      <xdr:rowOff>85531</xdr:rowOff>
    </xdr:from>
    <xdr:to>
      <xdr:col>22</xdr:col>
      <xdr:colOff>108857</xdr:colOff>
      <xdr:row>10</xdr:row>
      <xdr:rowOff>156403</xdr:rowOff>
    </xdr:to>
    <xdr:sp macro="" textlink="">
      <xdr:nvSpPr>
        <xdr:cNvPr id="4" name="テキスト ボックス 3">
          <a:extLst>
            <a:ext uri="{FF2B5EF4-FFF2-40B4-BE49-F238E27FC236}">
              <a16:creationId xmlns:a16="http://schemas.microsoft.com/office/drawing/2014/main" id="{DA841728-3C0F-4995-98DD-1802808BDF7F}"/>
            </a:ext>
          </a:extLst>
        </xdr:cNvPr>
        <xdr:cNvSpPr txBox="1"/>
      </xdr:nvSpPr>
      <xdr:spPr>
        <a:xfrm>
          <a:off x="11025674" y="1780592"/>
          <a:ext cx="2799183" cy="1952546"/>
        </a:xfrm>
        <a:prstGeom prst="wedgeRoundRectCallout">
          <a:avLst>
            <a:gd name="adj1" fmla="val 4968"/>
            <a:gd name="adj2" fmla="val 78395"/>
            <a:gd name="adj3" fmla="val 16667"/>
          </a:avLst>
        </a:prstGeom>
        <a:solidFill>
          <a:sysClr val="window" lastClr="FFFFFF"/>
        </a:solidFill>
        <a:ln w="38100" cmpd="sng">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ステップ③</a:t>
          </a:r>
          <a:endParaRPr kumimoji="1" lang="en-US" altLang="ja-JP" sz="16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　離職理由が解雇等の場合、軽減制度が適用されるので、</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雇用保険受給資格者証に記載されている</a:t>
          </a:r>
          <a:r>
            <a:rPr kumimoji="1" lang="ja-JP" altLang="en-US" sz="1200" b="0" i="0" u="none" strike="noStrike" kern="0" cap="none" spc="0" normalizeH="0" baseline="0" noProof="0">
              <a:ln>
                <a:noFill/>
              </a:ln>
              <a:solidFill>
                <a:srgbClr val="FF0000"/>
              </a:solidFill>
              <a:effectLst/>
              <a:uLnTx/>
              <a:uFillTx/>
              <a:latin typeface="HG創英角ﾎﾟｯﾌﾟ体" panose="040B0A09000000000000" pitchFamily="49" charset="-128"/>
              <a:ea typeface="HG創英角ﾎﾟｯﾌﾟ体" panose="040B0A09000000000000" pitchFamily="49" charset="-128"/>
              <a:cs typeface="+mn-cs"/>
            </a:rPr>
            <a:t>離職コード</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を入力してください。</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選択肢がない場合は軽減を受けることができません。</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xdr:txBody>
    </xdr:sp>
    <xdr:clientData/>
  </xdr:twoCellAnchor>
  <xdr:twoCellAnchor>
    <xdr:from>
      <xdr:col>1</xdr:col>
      <xdr:colOff>1337387</xdr:colOff>
      <xdr:row>37</xdr:row>
      <xdr:rowOff>373225</xdr:rowOff>
    </xdr:from>
    <xdr:to>
      <xdr:col>15</xdr:col>
      <xdr:colOff>94998</xdr:colOff>
      <xdr:row>44</xdr:row>
      <xdr:rowOff>147736</xdr:rowOff>
    </xdr:to>
    <xdr:sp macro="" textlink="">
      <xdr:nvSpPr>
        <xdr:cNvPr id="5" name="テキスト ボックス 4">
          <a:extLst>
            <a:ext uri="{FF2B5EF4-FFF2-40B4-BE49-F238E27FC236}">
              <a16:creationId xmlns:a16="http://schemas.microsoft.com/office/drawing/2014/main" id="{D1068A45-318D-4A74-90DB-F1255BD70984}"/>
            </a:ext>
          </a:extLst>
        </xdr:cNvPr>
        <xdr:cNvSpPr txBox="1"/>
      </xdr:nvSpPr>
      <xdr:spPr>
        <a:xfrm>
          <a:off x="1570652" y="13544939"/>
          <a:ext cx="8103775" cy="2441511"/>
        </a:xfrm>
        <a:prstGeom prst="wedgeRoundRectCallout">
          <a:avLst>
            <a:gd name="adj1" fmla="val -13558"/>
            <a:gd name="adj2" fmla="val 81152"/>
            <a:gd name="adj3" fmla="val 16667"/>
          </a:avLst>
        </a:prstGeom>
        <a:solidFill>
          <a:sysClr val="window" lastClr="FFFFFF"/>
        </a:solidFill>
        <a:ln w="38100" cmpd="sng">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ステップ④</a:t>
          </a:r>
          <a:endParaRPr kumimoji="1" lang="en-US" altLang="ja-JP" sz="16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前年中の収入・所得状況を源泉徴収票や確定申告書を参考に入力してください。</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rgbClr val="FF0000"/>
              </a:solidFill>
              <a:effectLst/>
              <a:uLnTx/>
              <a:uFillTx/>
              <a:latin typeface="HG創英角ﾎﾟｯﾌﾟ体" panose="040B0A09000000000000" pitchFamily="49" charset="-128"/>
              <a:ea typeface="HG創英角ﾎﾟｯﾌﾟ体" panose="040B0A09000000000000" pitchFamily="49" charset="-128"/>
              <a:cs typeface="+mn-cs"/>
            </a:rPr>
            <a:t>給与と年金は収入金額</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（実際にもらった金額）を入力します。</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rgbClr val="FF0000"/>
              </a:solidFill>
              <a:effectLst/>
              <a:uLnTx/>
              <a:uFillTx/>
              <a:latin typeface="HG創英角ﾎﾟｯﾌﾟ体" panose="040B0A09000000000000" pitchFamily="49" charset="-128"/>
              <a:ea typeface="HG創英角ﾎﾟｯﾌﾟ体" panose="040B0A09000000000000" pitchFamily="49" charset="-128"/>
              <a:cs typeface="+mn-cs"/>
            </a:rPr>
            <a:t>事業所得とその他所得は、所得金額</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（収入から経費などを差し引いた金額）を入力します。</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給与収入の内、事業専従者給与でもらった分を別でもう一度入力してください。</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事業所得の内、事業専従者控除で差し引いた分を別で入力してくだい。</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繰越損失と事業専従者控除の両方がある場合、税額が正確に計算されない場合があります。</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その他所得には、給与・年金・事業以外の全ての所得（分離課税分も含む）を合算して入力してください。</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rPr>
            <a:t>国民健康保険税を計算する上で、基礎控除以外の所得控除はありませんので入力不要です。</a:t>
          </a:r>
          <a:endParaRPr kumimoji="1" lang="en-US" altLang="ja-JP" sz="1200" b="0" i="0" u="none" strike="noStrike" kern="0" cap="none" spc="0" normalizeH="0" baseline="0" noProof="0">
            <a:ln>
              <a:noFill/>
            </a:ln>
            <a:solidFill>
              <a:sysClr val="windowText" lastClr="000000"/>
            </a:solidFill>
            <a:effectLst/>
            <a:uLnTx/>
            <a:uFillTx/>
            <a:latin typeface="HG創英角ﾎﾟｯﾌﾟ体" panose="040B0A09000000000000" pitchFamily="49" charset="-128"/>
            <a:ea typeface="HG創英角ﾎﾟｯﾌﾟ体" panose="040B0A09000000000000" pitchFamily="49" charset="-128"/>
            <a:cs typeface="+mn-cs"/>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5CA38-EC40-4B53-9562-E200047D7C25}">
  <sheetPr>
    <pageSetUpPr fitToPage="1"/>
  </sheetPr>
  <dimension ref="A1:BF85"/>
  <sheetViews>
    <sheetView showZeros="0" view="pageBreakPreview" topLeftCell="B1" zoomScale="98" zoomScaleNormal="98" zoomScaleSheetLayoutView="98" workbookViewId="0">
      <selection activeCell="R63" sqref="R63:S65"/>
    </sheetView>
  </sheetViews>
  <sheetFormatPr defaultColWidth="9" defaultRowHeight="16.2" x14ac:dyDescent="0.45"/>
  <cols>
    <col min="1" max="1" width="3.09765625" style="1" customWidth="1"/>
    <col min="2" max="2" width="20" style="1" customWidth="1"/>
    <col min="3" max="6" width="8.69921875" style="1" customWidth="1"/>
    <col min="7" max="18" width="7.5" style="1" customWidth="1"/>
    <col min="19" max="20" width="8" style="5" customWidth="1"/>
    <col min="21" max="22" width="7.8984375" style="1" customWidth="1"/>
    <col min="23" max="23" width="3.09765625" style="1" customWidth="1"/>
    <col min="24" max="24" width="7.69921875" style="1" customWidth="1"/>
    <col min="25" max="25" width="10.09765625" style="1" customWidth="1"/>
    <col min="26" max="26" width="15.5" style="1" customWidth="1"/>
    <col min="27" max="27" width="13.69921875" style="1" customWidth="1"/>
    <col min="28" max="29" width="21" style="1" customWidth="1"/>
    <col min="30" max="30" width="11.69921875" style="1" customWidth="1"/>
    <col min="31" max="31" width="15.5" style="1" customWidth="1"/>
    <col min="32" max="33" width="13.69921875" style="1" customWidth="1"/>
    <col min="34" max="34" width="21" style="1" customWidth="1"/>
    <col min="35" max="35" width="15.5" style="5" customWidth="1"/>
    <col min="36" max="36" width="15.5" style="1" customWidth="1"/>
    <col min="37" max="37" width="11.69921875" style="1" customWidth="1"/>
    <col min="38" max="38" width="13.69921875" style="1" customWidth="1"/>
    <col min="39" max="39" width="13.3984375" style="1" customWidth="1"/>
    <col min="40" max="41" width="9.8984375" style="1" customWidth="1"/>
    <col min="42" max="42" width="8.19921875" style="1" customWidth="1"/>
    <col min="43" max="43" width="9.8984375" style="1" customWidth="1"/>
    <col min="44" max="44" width="13.3984375" style="1" customWidth="1"/>
    <col min="45" max="45" width="11.69921875" style="1" customWidth="1"/>
    <col min="46" max="46" width="15.5" style="1" customWidth="1"/>
    <col min="47" max="47" width="15.19921875" style="1" customWidth="1"/>
    <col min="48" max="48" width="28.19921875" style="1" customWidth="1"/>
    <col min="49" max="49" width="11.8984375" style="1" customWidth="1"/>
    <col min="50" max="50" width="10" style="1" customWidth="1"/>
    <col min="51" max="51" width="12.09765625" style="1" customWidth="1"/>
    <col min="52" max="60" width="9" style="1" customWidth="1"/>
    <col min="61" max="16384" width="9" style="1"/>
  </cols>
  <sheetData>
    <row r="1" spans="2:48" ht="33.75" customHeight="1" thickBot="1" x14ac:dyDescent="0.5">
      <c r="B1" s="78">
        <v>2026</v>
      </c>
      <c r="L1" s="2"/>
      <c r="M1" s="2"/>
      <c r="N1" s="2"/>
      <c r="O1" s="2"/>
      <c r="P1" s="2"/>
      <c r="Q1" s="2"/>
      <c r="R1" s="2"/>
      <c r="S1" s="3"/>
      <c r="T1" s="3"/>
      <c r="U1" s="3"/>
      <c r="V1" s="3"/>
      <c r="W1" s="3"/>
      <c r="X1" s="3"/>
      <c r="Y1" s="3"/>
      <c r="Z1" s="3"/>
      <c r="AA1" s="3"/>
      <c r="AB1" s="3"/>
      <c r="AC1" s="3"/>
      <c r="AD1" s="3"/>
      <c r="AE1" s="3"/>
      <c r="AF1" s="3"/>
      <c r="AG1" s="3"/>
      <c r="AH1" s="3"/>
      <c r="AI1" s="3"/>
      <c r="AJ1" s="3"/>
      <c r="AK1" s="3"/>
    </row>
    <row r="2" spans="2:48" ht="22.8" thickBot="1" x14ac:dyDescent="0.5">
      <c r="B2" s="46"/>
      <c r="L2" s="2"/>
      <c r="M2" s="2"/>
      <c r="N2" s="2"/>
      <c r="O2" s="2"/>
      <c r="P2" s="2"/>
      <c r="Q2" s="2"/>
      <c r="R2" s="2"/>
      <c r="S2" s="3"/>
      <c r="T2" s="3"/>
      <c r="U2" s="3"/>
      <c r="V2" s="3"/>
      <c r="W2" s="3"/>
      <c r="X2" s="3"/>
      <c r="Y2" s="3"/>
      <c r="Z2" s="3"/>
      <c r="AA2" s="3"/>
      <c r="AB2" s="3"/>
      <c r="AC2" s="3"/>
      <c r="AD2" s="3"/>
      <c r="AE2" s="3"/>
      <c r="AF2" s="3"/>
      <c r="AG2" s="3"/>
      <c r="AH2" s="3"/>
      <c r="AI2" s="3"/>
      <c r="AJ2" s="3"/>
      <c r="AK2" s="3"/>
    </row>
    <row r="3" spans="2:48" ht="29.25" customHeight="1" thickBot="1" x14ac:dyDescent="0.5">
      <c r="B3" s="223" t="s">
        <v>86</v>
      </c>
      <c r="C3" s="224"/>
      <c r="D3" s="224"/>
      <c r="E3" s="224"/>
      <c r="F3" s="224"/>
      <c r="G3" s="224"/>
      <c r="H3" s="224"/>
      <c r="I3" s="224"/>
      <c r="J3" s="224"/>
      <c r="K3" s="224"/>
      <c r="L3" s="224"/>
      <c r="M3" s="224"/>
      <c r="N3" s="224"/>
      <c r="O3" s="224"/>
      <c r="P3" s="224"/>
      <c r="Q3" s="224"/>
      <c r="R3" s="224"/>
      <c r="S3" s="224"/>
      <c r="T3" s="224"/>
      <c r="U3" s="224"/>
      <c r="V3" s="224"/>
      <c r="W3" s="70"/>
      <c r="X3" s="4"/>
      <c r="Y3" s="4"/>
      <c r="Z3" s="4"/>
      <c r="AA3" s="4"/>
      <c r="AB3" s="4"/>
      <c r="AC3" s="4"/>
      <c r="AD3" s="4"/>
      <c r="AE3" s="4"/>
      <c r="AF3" s="4"/>
      <c r="AG3" s="4"/>
      <c r="AH3" s="4"/>
      <c r="AI3" s="4"/>
      <c r="AJ3" s="4"/>
      <c r="AK3" s="4"/>
    </row>
    <row r="4" spans="2:48" ht="48.75" customHeight="1" x14ac:dyDescent="0.45">
      <c r="B4" s="298" t="s">
        <v>76</v>
      </c>
      <c r="C4" s="298"/>
      <c r="D4" s="298"/>
      <c r="E4" s="298"/>
      <c r="F4" s="298"/>
      <c r="G4" s="298"/>
      <c r="H4" s="298"/>
      <c r="I4" s="298"/>
      <c r="J4" s="298"/>
      <c r="K4" s="298"/>
      <c r="L4" s="298"/>
      <c r="M4" s="298"/>
      <c r="N4" s="298"/>
      <c r="O4" s="298"/>
      <c r="P4" s="298"/>
      <c r="Q4" s="298"/>
      <c r="R4" s="298"/>
      <c r="S4" s="298"/>
      <c r="T4" s="298"/>
      <c r="U4" s="298"/>
      <c r="V4" s="298"/>
    </row>
    <row r="5" spans="2:48" ht="22.8" thickBot="1" x14ac:dyDescent="0.5">
      <c r="B5" s="11" t="s">
        <v>0</v>
      </c>
      <c r="Y5" s="13" t="s">
        <v>45</v>
      </c>
      <c r="Z5" s="5" t="s">
        <v>46</v>
      </c>
      <c r="AA5" s="19">
        <f>DATE(B1,1,1)</f>
        <v>44561</v>
      </c>
      <c r="AB5" s="14" t="s">
        <v>49</v>
      </c>
      <c r="AC5" s="19">
        <f>MIN(AP49:AP57)</f>
        <v>42589</v>
      </c>
      <c r="AD5" s="13"/>
      <c r="AE5" s="13"/>
      <c r="AF5" s="13"/>
      <c r="AG5" s="13"/>
      <c r="AH5" s="13"/>
      <c r="AI5" s="13"/>
      <c r="AJ5" s="13"/>
    </row>
    <row r="6" spans="2:48" ht="25.5" customHeight="1" thickBot="1" x14ac:dyDescent="0.5">
      <c r="B6" s="47"/>
      <c r="C6" s="299" t="s">
        <v>1</v>
      </c>
      <c r="D6" s="300"/>
      <c r="E6" s="301" t="s">
        <v>2</v>
      </c>
      <c r="F6" s="302"/>
      <c r="G6" s="301" t="s">
        <v>3</v>
      </c>
      <c r="H6" s="299"/>
      <c r="I6" s="300" t="s">
        <v>4</v>
      </c>
      <c r="J6" s="303"/>
      <c r="Z6" s="5" t="s">
        <v>47</v>
      </c>
      <c r="AA6" s="19">
        <f>DATE(B1,4,1)</f>
        <v>44651</v>
      </c>
      <c r="AB6" s="14" t="s">
        <v>50</v>
      </c>
      <c r="AC6" s="19">
        <f>MIN(AQ49:AQ57)</f>
        <v>44415</v>
      </c>
    </row>
    <row r="7" spans="2:48" ht="25.5" customHeight="1" x14ac:dyDescent="0.45">
      <c r="B7" s="48" t="s">
        <v>5</v>
      </c>
      <c r="C7" s="321">
        <v>7.0000000000000007E-2</v>
      </c>
      <c r="D7" s="322"/>
      <c r="E7" s="323">
        <v>24000</v>
      </c>
      <c r="F7" s="324"/>
      <c r="G7" s="323">
        <v>21200</v>
      </c>
      <c r="H7" s="325"/>
      <c r="I7" s="326">
        <v>670000</v>
      </c>
      <c r="J7" s="327"/>
      <c r="Z7" s="5" t="s">
        <v>48</v>
      </c>
      <c r="AA7" s="19">
        <f>DATE(B1+1,4,1)</f>
        <v>45016</v>
      </c>
      <c r="AB7" s="14" t="s">
        <v>51</v>
      </c>
      <c r="AC7" s="19">
        <f>MIN(AR49:AR57)</f>
        <v>45511</v>
      </c>
    </row>
    <row r="8" spans="2:48" ht="25.5" customHeight="1" x14ac:dyDescent="0.45">
      <c r="B8" s="49" t="s">
        <v>6</v>
      </c>
      <c r="C8" s="328">
        <v>2.8000000000000001E-2</v>
      </c>
      <c r="D8" s="329"/>
      <c r="E8" s="330">
        <v>9200</v>
      </c>
      <c r="F8" s="331"/>
      <c r="G8" s="330">
        <v>8400</v>
      </c>
      <c r="H8" s="332"/>
      <c r="I8" s="285">
        <v>260000</v>
      </c>
      <c r="J8" s="286"/>
      <c r="Z8" s="5"/>
      <c r="AA8" s="19"/>
      <c r="AB8" s="5" t="s">
        <v>53</v>
      </c>
      <c r="AC8" s="19">
        <f>DATE(YEAR(AA7)+5,MONTH(AA7),DAY(AA7))</f>
        <v>46843</v>
      </c>
    </row>
    <row r="9" spans="2:48" ht="25.5" customHeight="1" x14ac:dyDescent="0.45">
      <c r="B9" s="102" t="s">
        <v>7</v>
      </c>
      <c r="C9" s="152">
        <v>2.1999999999999999E-2</v>
      </c>
      <c r="D9" s="153"/>
      <c r="E9" s="154">
        <v>8500</v>
      </c>
      <c r="F9" s="155"/>
      <c r="G9" s="154">
        <v>8000</v>
      </c>
      <c r="H9" s="156"/>
      <c r="I9" s="157">
        <v>170000</v>
      </c>
      <c r="J9" s="158"/>
      <c r="Z9" s="5"/>
      <c r="AA9" s="19"/>
      <c r="AB9" s="5"/>
      <c r="AC9" s="19"/>
    </row>
    <row r="10" spans="2:48" ht="25.5" customHeight="1" thickBot="1" x14ac:dyDescent="0.5">
      <c r="B10" s="50" t="s">
        <v>102</v>
      </c>
      <c r="C10" s="311">
        <v>3.0000000000000001E-3</v>
      </c>
      <c r="D10" s="312"/>
      <c r="E10" s="313">
        <v>1300</v>
      </c>
      <c r="F10" s="314"/>
      <c r="G10" s="313">
        <v>800</v>
      </c>
      <c r="H10" s="315"/>
      <c r="I10" s="316">
        <v>30000</v>
      </c>
      <c r="J10" s="317"/>
      <c r="AB10" s="5" t="s">
        <v>52</v>
      </c>
      <c r="AC10" s="19">
        <f>DATE(YEAR(AC8)+3,MONTH(AC8),DAY(AC8))</f>
        <v>47938</v>
      </c>
    </row>
    <row r="11" spans="2:48" x14ac:dyDescent="0.45">
      <c r="B11" s="5"/>
      <c r="C11" s="6"/>
      <c r="D11" s="6"/>
      <c r="E11" s="7"/>
      <c r="F11" s="7"/>
      <c r="G11" s="7"/>
      <c r="H11" s="7"/>
      <c r="I11" s="7"/>
      <c r="J11" s="7"/>
      <c r="K11" s="7"/>
      <c r="L11" s="7"/>
      <c r="M11" s="7"/>
      <c r="N11" s="7"/>
      <c r="O11" s="7"/>
      <c r="P11" s="7"/>
      <c r="Q11" s="7"/>
    </row>
    <row r="12" spans="2:48" ht="22.8" thickBot="1" x14ac:dyDescent="0.5">
      <c r="B12" s="318" t="s">
        <v>87</v>
      </c>
      <c r="C12" s="318"/>
      <c r="D12" s="318"/>
      <c r="E12" s="318"/>
      <c r="F12" s="318"/>
      <c r="G12" s="318"/>
      <c r="H12" s="318"/>
      <c r="I12" s="318"/>
      <c r="J12" s="318"/>
      <c r="K12" s="318"/>
      <c r="L12" s="318"/>
      <c r="M12" s="318"/>
      <c r="N12" s="318"/>
      <c r="O12" s="318"/>
      <c r="P12" s="318"/>
      <c r="Q12" s="318"/>
      <c r="R12" s="318"/>
      <c r="S12" s="318"/>
      <c r="T12" s="318"/>
      <c r="U12" s="318"/>
      <c r="V12" s="318"/>
      <c r="Y12" s="18"/>
      <c r="Z12" s="18"/>
      <c r="AA12" s="18"/>
      <c r="AB12" s="18"/>
      <c r="AC12" s="18"/>
      <c r="AD12" s="18"/>
      <c r="AE12" s="18"/>
      <c r="AF12" s="18"/>
      <c r="AG12" s="18"/>
      <c r="AH12" s="18"/>
      <c r="AI12" s="25"/>
      <c r="AJ12" s="18"/>
    </row>
    <row r="13" spans="2:48" ht="16.8" thickBot="1" x14ac:dyDescent="0.5">
      <c r="G13" s="23">
        <f>EOMONTH($F$14,0)</f>
        <v>44680</v>
      </c>
      <c r="H13" s="24">
        <f>EOMONTH($F$14,1)</f>
        <v>44711</v>
      </c>
      <c r="I13" s="23">
        <f>EOMONTH($F$14,2)</f>
        <v>44741</v>
      </c>
      <c r="J13" s="23">
        <f>EOMONTH($F$14,3)</f>
        <v>44772</v>
      </c>
      <c r="K13" s="23">
        <f>EOMONTH($F$14,4)</f>
        <v>44803</v>
      </c>
      <c r="L13" s="23">
        <f>EOMONTH($F$14,5)</f>
        <v>44833</v>
      </c>
      <c r="M13" s="24">
        <f>EOMONTH($F$14,6)</f>
        <v>44864</v>
      </c>
      <c r="N13" s="23">
        <f>EOMONTH($F$14,7)</f>
        <v>44894</v>
      </c>
      <c r="O13" s="23">
        <f>EOMONTH($F$14,8)</f>
        <v>44925</v>
      </c>
      <c r="P13" s="23">
        <f>EOMONTH($F$14,9)</f>
        <v>44956</v>
      </c>
      <c r="Q13" s="24">
        <f>EOMONTH($F$14,10)</f>
        <v>44984</v>
      </c>
      <c r="R13" s="23">
        <f>EOMONTH($F$14,11)</f>
        <v>45015</v>
      </c>
      <c r="AI13" s="25"/>
      <c r="AJ13" s="18"/>
      <c r="AL13" s="5"/>
      <c r="AM13" s="5"/>
      <c r="AN13" s="5"/>
      <c r="AO13" s="5"/>
      <c r="AQ13" s="5"/>
      <c r="AR13" s="5"/>
      <c r="AS13" s="5"/>
      <c r="AT13" s="5"/>
      <c r="AV13" s="8"/>
    </row>
    <row r="14" spans="2:48" ht="37.200000000000003" thickTop="1" thickBot="1" x14ac:dyDescent="0.5">
      <c r="B14" s="79"/>
      <c r="C14" s="257" t="s">
        <v>56</v>
      </c>
      <c r="D14" s="258"/>
      <c r="E14" s="83" t="s">
        <v>84</v>
      </c>
      <c r="F14" s="84">
        <f>DATE(B1,4,1)</f>
        <v>44651</v>
      </c>
      <c r="G14" s="85" t="s">
        <v>60</v>
      </c>
      <c r="H14" s="85" t="s">
        <v>61</v>
      </c>
      <c r="I14" s="85" t="s">
        <v>62</v>
      </c>
      <c r="J14" s="85" t="s">
        <v>63</v>
      </c>
      <c r="K14" s="85" t="s">
        <v>64</v>
      </c>
      <c r="L14" s="85" t="s">
        <v>65</v>
      </c>
      <c r="M14" s="85" t="s">
        <v>66</v>
      </c>
      <c r="N14" s="85" t="s">
        <v>67</v>
      </c>
      <c r="O14" s="85" t="s">
        <v>68</v>
      </c>
      <c r="P14" s="85" t="s">
        <v>69</v>
      </c>
      <c r="Q14" s="85" t="s">
        <v>70</v>
      </c>
      <c r="R14" s="86" t="s">
        <v>71</v>
      </c>
      <c r="S14" s="82" t="s">
        <v>89</v>
      </c>
      <c r="T14" s="319" t="s">
        <v>74</v>
      </c>
      <c r="U14" s="320"/>
      <c r="V14" s="81" t="s">
        <v>83</v>
      </c>
      <c r="W14" s="63"/>
      <c r="X14" s="31"/>
    </row>
    <row r="15" spans="2:48" ht="29.25" customHeight="1" thickTop="1" x14ac:dyDescent="0.45">
      <c r="B15" s="287" t="s">
        <v>13</v>
      </c>
      <c r="C15" s="333" t="s">
        <v>99</v>
      </c>
      <c r="D15" s="334"/>
      <c r="E15" s="337">
        <v>28096</v>
      </c>
      <c r="F15" s="87" t="s">
        <v>100</v>
      </c>
      <c r="G15" s="87" t="s">
        <v>100</v>
      </c>
      <c r="H15" s="87" t="s">
        <v>100</v>
      </c>
      <c r="I15" s="87" t="s">
        <v>100</v>
      </c>
      <c r="J15" s="87" t="s">
        <v>100</v>
      </c>
      <c r="K15" s="87" t="s">
        <v>100</v>
      </c>
      <c r="L15" s="87" t="s">
        <v>100</v>
      </c>
      <c r="M15" s="87" t="s">
        <v>100</v>
      </c>
      <c r="N15" s="87" t="s">
        <v>100</v>
      </c>
      <c r="O15" s="87" t="s">
        <v>100</v>
      </c>
      <c r="P15" s="87" t="s">
        <v>100</v>
      </c>
      <c r="Q15" s="87" t="s">
        <v>100</v>
      </c>
      <c r="R15" s="87" t="s">
        <v>100</v>
      </c>
      <c r="S15" s="88"/>
      <c r="T15" s="339"/>
      <c r="U15" s="340"/>
      <c r="V15" s="89">
        <f>COUNTIF(G15:R15,"国保")+COUNTIF(G15:R15,"後期")+COUNTIF(G15:R15,"社保")</f>
        <v>12</v>
      </c>
      <c r="W15" s="64"/>
      <c r="X15" s="20"/>
    </row>
    <row r="16" spans="2:48" ht="29.25" customHeight="1" x14ac:dyDescent="0.45">
      <c r="B16" s="259"/>
      <c r="C16" s="335"/>
      <c r="D16" s="336"/>
      <c r="E16" s="338"/>
      <c r="F16" s="90"/>
      <c r="G16" s="97" t="str">
        <f>IF(G15="","",IF(AND(G$13&gt;=$AM$49,G$13&lt;$AN$49),"○",""))</f>
        <v>○</v>
      </c>
      <c r="H16" s="97" t="str">
        <f t="shared" ref="H16:R16" si="0">IF(H15="","",IF(AND(H$13&gt;=$AM$49,H$13&lt;$AN$49),"○",""))</f>
        <v>○</v>
      </c>
      <c r="I16" s="97" t="str">
        <f t="shared" si="0"/>
        <v>○</v>
      </c>
      <c r="J16" s="97" t="str">
        <f t="shared" si="0"/>
        <v>○</v>
      </c>
      <c r="K16" s="97" t="str">
        <f t="shared" si="0"/>
        <v>○</v>
      </c>
      <c r="L16" s="97" t="str">
        <f t="shared" si="0"/>
        <v>○</v>
      </c>
      <c r="M16" s="97" t="str">
        <f t="shared" si="0"/>
        <v>○</v>
      </c>
      <c r="N16" s="97" t="str">
        <f t="shared" si="0"/>
        <v>○</v>
      </c>
      <c r="O16" s="97" t="str">
        <f t="shared" si="0"/>
        <v>○</v>
      </c>
      <c r="P16" s="97" t="str">
        <f t="shared" si="0"/>
        <v>○</v>
      </c>
      <c r="Q16" s="97" t="str">
        <f t="shared" si="0"/>
        <v>○</v>
      </c>
      <c r="R16" s="97" t="str">
        <f t="shared" si="0"/>
        <v>○</v>
      </c>
      <c r="S16" s="91"/>
      <c r="T16" s="92"/>
      <c r="U16" s="93"/>
      <c r="V16" s="94">
        <f>COUNTIF(G16:R16,"○")</f>
        <v>12</v>
      </c>
      <c r="W16" s="64"/>
      <c r="X16" s="20"/>
    </row>
    <row r="17" spans="2:24" ht="29.25" customHeight="1" x14ac:dyDescent="0.45">
      <c r="B17" s="259"/>
      <c r="C17" s="335"/>
      <c r="D17" s="336"/>
      <c r="E17" s="338"/>
      <c r="F17" s="95"/>
      <c r="G17" s="95" t="str">
        <f>IF(G15="","",IF(G15="国保","被保","特定"))</f>
        <v>被保</v>
      </c>
      <c r="H17" s="95" t="str">
        <f t="shared" ref="H17:R17" si="1">IF(H15="","",IF(H15="国保","被保","特定"))</f>
        <v>被保</v>
      </c>
      <c r="I17" s="95" t="str">
        <f t="shared" si="1"/>
        <v>被保</v>
      </c>
      <c r="J17" s="95" t="str">
        <f t="shared" si="1"/>
        <v>被保</v>
      </c>
      <c r="K17" s="95" t="str">
        <f t="shared" si="1"/>
        <v>被保</v>
      </c>
      <c r="L17" s="95" t="str">
        <f t="shared" si="1"/>
        <v>被保</v>
      </c>
      <c r="M17" s="95" t="str">
        <f t="shared" si="1"/>
        <v>被保</v>
      </c>
      <c r="N17" s="95" t="str">
        <f t="shared" si="1"/>
        <v>被保</v>
      </c>
      <c r="O17" s="95" t="str">
        <f t="shared" si="1"/>
        <v>被保</v>
      </c>
      <c r="P17" s="95" t="str">
        <f t="shared" si="1"/>
        <v>被保</v>
      </c>
      <c r="Q17" s="95" t="str">
        <f t="shared" si="1"/>
        <v>被保</v>
      </c>
      <c r="R17" s="95" t="str">
        <f t="shared" si="1"/>
        <v>被保</v>
      </c>
      <c r="S17" s="96">
        <f>COUNTIF(G17:R17,"普主")</f>
        <v>0</v>
      </c>
      <c r="T17" s="92"/>
      <c r="U17" s="93"/>
      <c r="V17" s="94" t="str">
        <f>IF(COUNTIF(G15:R15,"国保")&gt;=1,"被保険者","")</f>
        <v>被保険者</v>
      </c>
      <c r="W17" s="64"/>
      <c r="X17" s="20"/>
    </row>
    <row r="18" spans="2:24" ht="29.25" customHeight="1" x14ac:dyDescent="0.45">
      <c r="B18" s="259" t="s">
        <v>14</v>
      </c>
      <c r="C18" s="341" t="s">
        <v>106</v>
      </c>
      <c r="D18" s="342"/>
      <c r="E18" s="338">
        <v>30939</v>
      </c>
      <c r="F18" s="97"/>
      <c r="G18" s="97" t="s">
        <v>100</v>
      </c>
      <c r="H18" s="97" t="s">
        <v>100</v>
      </c>
      <c r="I18" s="97" t="s">
        <v>100</v>
      </c>
      <c r="J18" s="97" t="s">
        <v>100</v>
      </c>
      <c r="K18" s="97" t="s">
        <v>100</v>
      </c>
      <c r="L18" s="97" t="s">
        <v>100</v>
      </c>
      <c r="M18" s="97" t="s">
        <v>100</v>
      </c>
      <c r="N18" s="97" t="s">
        <v>100</v>
      </c>
      <c r="O18" s="97" t="s">
        <v>100</v>
      </c>
      <c r="P18" s="97" t="s">
        <v>100</v>
      </c>
      <c r="Q18" s="97" t="s">
        <v>100</v>
      </c>
      <c r="R18" s="97" t="s">
        <v>100</v>
      </c>
      <c r="S18" s="99"/>
      <c r="T18" s="343"/>
      <c r="U18" s="344"/>
      <c r="V18" s="100">
        <f>COUNTIF(G18:R18,"国保")+COUNTIF(G18:R18,"後期")</f>
        <v>12</v>
      </c>
      <c r="W18" s="64"/>
      <c r="X18" s="20"/>
    </row>
    <row r="19" spans="2:24" ht="29.25" customHeight="1" x14ac:dyDescent="0.45">
      <c r="B19" s="259"/>
      <c r="C19" s="341"/>
      <c r="D19" s="342"/>
      <c r="E19" s="338"/>
      <c r="F19" s="90"/>
      <c r="G19" s="97" t="str">
        <f>IF(G18="","",IF(AND(G$13&gt;=$AM$50,G$13&lt;$AN$50),"○",""))</f>
        <v/>
      </c>
      <c r="H19" s="97" t="str">
        <f>IF(H18="","",IF(AND(H$13&gt;=$AM$50,H$13&lt;$AN$50),"○",""))</f>
        <v/>
      </c>
      <c r="I19" s="97" t="str">
        <f t="shared" ref="I19:R19" si="2">IF(I18="","",IF(AND(I$13&gt;=$AM$50,I$13&lt;$AN$50),"○",""))</f>
        <v/>
      </c>
      <c r="J19" s="97" t="str">
        <f t="shared" si="2"/>
        <v/>
      </c>
      <c r="K19" s="97" t="str">
        <f t="shared" si="2"/>
        <v/>
      </c>
      <c r="L19" s="97" t="str">
        <f t="shared" si="2"/>
        <v/>
      </c>
      <c r="M19" s="97" t="str">
        <f t="shared" si="2"/>
        <v/>
      </c>
      <c r="N19" s="97" t="str">
        <f t="shared" si="2"/>
        <v/>
      </c>
      <c r="O19" s="97" t="str">
        <f t="shared" si="2"/>
        <v/>
      </c>
      <c r="P19" s="97" t="str">
        <f t="shared" si="2"/>
        <v/>
      </c>
      <c r="Q19" s="97" t="str">
        <f t="shared" si="2"/>
        <v/>
      </c>
      <c r="R19" s="97" t="str">
        <f t="shared" si="2"/>
        <v/>
      </c>
      <c r="S19" s="96"/>
      <c r="T19" s="92"/>
      <c r="U19" s="93"/>
      <c r="V19" s="100">
        <f>COUNTIF(G19:R19,"○")</f>
        <v>0</v>
      </c>
      <c r="W19" s="64"/>
      <c r="X19" s="20"/>
    </row>
    <row r="20" spans="2:24" ht="29.25" customHeight="1" x14ac:dyDescent="0.45">
      <c r="B20" s="259"/>
      <c r="C20" s="341"/>
      <c r="D20" s="342"/>
      <c r="E20" s="338"/>
      <c r="F20" s="95" t="str">
        <f>IF(F18="","",IF(F18="国保","被保","特定"))</f>
        <v/>
      </c>
      <c r="G20" s="95" t="str">
        <f>IF(G18="","",IF(G18="国保","被保","特定"))</f>
        <v>被保</v>
      </c>
      <c r="H20" s="95" t="str">
        <f t="shared" ref="H20:R20" si="3">IF(H18="","",IF(H18="国保","被保","特定"))</f>
        <v>被保</v>
      </c>
      <c r="I20" s="95" t="str">
        <f t="shared" si="3"/>
        <v>被保</v>
      </c>
      <c r="J20" s="95" t="str">
        <f t="shared" si="3"/>
        <v>被保</v>
      </c>
      <c r="K20" s="95" t="str">
        <f t="shared" si="3"/>
        <v>被保</v>
      </c>
      <c r="L20" s="95" t="str">
        <f t="shared" si="3"/>
        <v>被保</v>
      </c>
      <c r="M20" s="95" t="str">
        <f t="shared" si="3"/>
        <v>被保</v>
      </c>
      <c r="N20" s="95" t="str">
        <f t="shared" si="3"/>
        <v>被保</v>
      </c>
      <c r="O20" s="95" t="str">
        <f t="shared" si="3"/>
        <v>被保</v>
      </c>
      <c r="P20" s="95" t="str">
        <f t="shared" si="3"/>
        <v>被保</v>
      </c>
      <c r="Q20" s="95" t="str">
        <f t="shared" si="3"/>
        <v>被保</v>
      </c>
      <c r="R20" s="95" t="str">
        <f t="shared" si="3"/>
        <v>被保</v>
      </c>
      <c r="S20" s="96">
        <f>COUNTIF(G20:R20,"被保")</f>
        <v>12</v>
      </c>
      <c r="T20" s="92"/>
      <c r="U20" s="93"/>
      <c r="V20" s="100" t="str">
        <f>IF(COUNTIF(G18:R18,"国保")&gt;=1,"被保険者","")</f>
        <v>被保険者</v>
      </c>
      <c r="W20" s="64"/>
      <c r="X20" s="20"/>
    </row>
    <row r="21" spans="2:24" ht="29.25" customHeight="1" x14ac:dyDescent="0.45">
      <c r="B21" s="259" t="s">
        <v>15</v>
      </c>
      <c r="C21" s="341" t="s">
        <v>107</v>
      </c>
      <c r="D21" s="342"/>
      <c r="E21" s="338">
        <v>15196</v>
      </c>
      <c r="F21" s="97"/>
      <c r="G21" s="97" t="s">
        <v>101</v>
      </c>
      <c r="H21" s="97" t="s">
        <v>101</v>
      </c>
      <c r="I21" s="97" t="s">
        <v>101</v>
      </c>
      <c r="J21" s="97" t="s">
        <v>101</v>
      </c>
      <c r="K21" s="97" t="s">
        <v>101</v>
      </c>
      <c r="L21" s="97" t="s">
        <v>101</v>
      </c>
      <c r="M21" s="97" t="s">
        <v>101</v>
      </c>
      <c r="N21" s="97" t="s">
        <v>101</v>
      </c>
      <c r="O21" s="97" t="s">
        <v>101</v>
      </c>
      <c r="P21" s="97" t="s">
        <v>101</v>
      </c>
      <c r="Q21" s="97" t="s">
        <v>101</v>
      </c>
      <c r="R21" s="97" t="s">
        <v>101</v>
      </c>
      <c r="S21" s="99"/>
      <c r="T21" s="343"/>
      <c r="U21" s="344"/>
      <c r="V21" s="100">
        <f>COUNTIF(G21:R21,"国保")+COUNTIF(G21:R21,"後期")</f>
        <v>0</v>
      </c>
      <c r="W21" s="64"/>
      <c r="X21" s="20"/>
    </row>
    <row r="22" spans="2:24" ht="29.25" customHeight="1" x14ac:dyDescent="0.45">
      <c r="B22" s="259"/>
      <c r="C22" s="341"/>
      <c r="D22" s="342"/>
      <c r="E22" s="338"/>
      <c r="F22" s="90"/>
      <c r="G22" s="97" t="str">
        <f>IF(G21="","",IF(AND(G$13&gt;=$AM$51,G$13&lt;$AN$51),"○",""))</f>
        <v/>
      </c>
      <c r="H22" s="97" t="str">
        <f t="shared" ref="H22:R22" si="4">IF(H21="","",IF(AND(H$13&gt;=$AM$51,H$13&lt;$AN$51),"○",""))</f>
        <v/>
      </c>
      <c r="I22" s="97" t="str">
        <f t="shared" si="4"/>
        <v/>
      </c>
      <c r="J22" s="97" t="str">
        <f t="shared" si="4"/>
        <v/>
      </c>
      <c r="K22" s="97" t="str">
        <f>IF(K21="","",IF(AND(K$13&gt;=$AM$51,K$13&lt;$AN$51),"○",""))</f>
        <v/>
      </c>
      <c r="L22" s="97" t="str">
        <f t="shared" si="4"/>
        <v/>
      </c>
      <c r="M22" s="97" t="str">
        <f t="shared" si="4"/>
        <v/>
      </c>
      <c r="N22" s="97" t="str">
        <f t="shared" si="4"/>
        <v/>
      </c>
      <c r="O22" s="97" t="str">
        <f t="shared" si="4"/>
        <v/>
      </c>
      <c r="P22" s="97" t="str">
        <f t="shared" si="4"/>
        <v/>
      </c>
      <c r="Q22" s="97" t="str">
        <f t="shared" si="4"/>
        <v/>
      </c>
      <c r="R22" s="97" t="str">
        <f t="shared" si="4"/>
        <v/>
      </c>
      <c r="S22" s="96"/>
      <c r="T22" s="92"/>
      <c r="U22" s="93"/>
      <c r="V22" s="100">
        <f>COUNTIF(G22:R22,"○")</f>
        <v>0</v>
      </c>
      <c r="W22" s="64"/>
      <c r="X22" s="20"/>
    </row>
    <row r="23" spans="2:24" ht="29.25" customHeight="1" x14ac:dyDescent="0.45">
      <c r="B23" s="259"/>
      <c r="C23" s="341"/>
      <c r="D23" s="342"/>
      <c r="E23" s="338"/>
      <c r="F23" s="95" t="str">
        <f>IF(F21="","",IF(F21="国保","被保","特定"))</f>
        <v/>
      </c>
      <c r="G23" s="95" t="str">
        <f>IF(G21="","",IF(G21="国保","被保","特定"))</f>
        <v>特定</v>
      </c>
      <c r="H23" s="95" t="str">
        <f t="shared" ref="H23:R23" si="5">IF(H21="","",IF(H21="国保","被保","特定"))</f>
        <v>特定</v>
      </c>
      <c r="I23" s="95" t="str">
        <f t="shared" si="5"/>
        <v>特定</v>
      </c>
      <c r="J23" s="95" t="str">
        <f t="shared" si="5"/>
        <v>特定</v>
      </c>
      <c r="K23" s="95" t="str">
        <f t="shared" si="5"/>
        <v>特定</v>
      </c>
      <c r="L23" s="95" t="str">
        <f t="shared" si="5"/>
        <v>特定</v>
      </c>
      <c r="M23" s="95" t="str">
        <f t="shared" si="5"/>
        <v>特定</v>
      </c>
      <c r="N23" s="95" t="str">
        <f t="shared" si="5"/>
        <v>特定</v>
      </c>
      <c r="O23" s="95" t="str">
        <f t="shared" si="5"/>
        <v>特定</v>
      </c>
      <c r="P23" s="95" t="str">
        <f t="shared" si="5"/>
        <v>特定</v>
      </c>
      <c r="Q23" s="95" t="str">
        <f t="shared" si="5"/>
        <v>特定</v>
      </c>
      <c r="R23" s="95" t="str">
        <f t="shared" si="5"/>
        <v>特定</v>
      </c>
      <c r="S23" s="96">
        <f>COUNTIF(G23:R23,"被保")</f>
        <v>0</v>
      </c>
      <c r="T23" s="92"/>
      <c r="U23" s="93"/>
      <c r="V23" s="100" t="str">
        <f>IF(COUNTIF(G21:R21,"国保")&gt;=1,"被保険者","")</f>
        <v/>
      </c>
      <c r="W23" s="64"/>
      <c r="X23" s="20"/>
    </row>
    <row r="24" spans="2:24" ht="29.25" customHeight="1" x14ac:dyDescent="0.45">
      <c r="B24" s="259" t="s">
        <v>16</v>
      </c>
      <c r="C24" s="341" t="s">
        <v>108</v>
      </c>
      <c r="D24" s="342"/>
      <c r="E24" s="338">
        <v>42525</v>
      </c>
      <c r="F24" s="97"/>
      <c r="G24" s="97" t="s">
        <v>100</v>
      </c>
      <c r="H24" s="97" t="s">
        <v>100</v>
      </c>
      <c r="I24" s="97" t="s">
        <v>100</v>
      </c>
      <c r="J24" s="97" t="s">
        <v>100</v>
      </c>
      <c r="K24" s="97" t="s">
        <v>100</v>
      </c>
      <c r="L24" s="97" t="s">
        <v>100</v>
      </c>
      <c r="M24" s="97" t="s">
        <v>100</v>
      </c>
      <c r="N24" s="97" t="s">
        <v>100</v>
      </c>
      <c r="O24" s="97" t="s">
        <v>100</v>
      </c>
      <c r="P24" s="97" t="s">
        <v>100</v>
      </c>
      <c r="Q24" s="97" t="s">
        <v>100</v>
      </c>
      <c r="R24" s="97" t="s">
        <v>100</v>
      </c>
      <c r="S24" s="99"/>
      <c r="T24" s="343"/>
      <c r="U24" s="344"/>
      <c r="V24" s="100">
        <f>COUNTIF(G24:R24,"国保")+COUNTIF(G24:R24,"後期")</f>
        <v>12</v>
      </c>
      <c r="W24" s="64"/>
      <c r="X24" s="20"/>
    </row>
    <row r="25" spans="2:24" ht="29.25" customHeight="1" x14ac:dyDescent="0.45">
      <c r="B25" s="259"/>
      <c r="C25" s="341"/>
      <c r="D25" s="342"/>
      <c r="E25" s="338"/>
      <c r="F25" s="90"/>
      <c r="G25" s="97" t="str">
        <f>IF(G24="","",IF(AND(G$13&gt;=$AM$52,G$13&lt;$AN$52),"○",""))</f>
        <v/>
      </c>
      <c r="H25" s="97" t="str">
        <f t="shared" ref="H25:R25" si="6">IF(H24="","",IF(AND(H$13&gt;=$AM$52,H$13&lt;$AN$52),"○",""))</f>
        <v/>
      </c>
      <c r="I25" s="97" t="str">
        <f t="shared" si="6"/>
        <v/>
      </c>
      <c r="J25" s="97" t="str">
        <f t="shared" si="6"/>
        <v/>
      </c>
      <c r="K25" s="97" t="str">
        <f t="shared" si="6"/>
        <v/>
      </c>
      <c r="L25" s="97" t="str">
        <f t="shared" si="6"/>
        <v/>
      </c>
      <c r="M25" s="97" t="str">
        <f t="shared" si="6"/>
        <v/>
      </c>
      <c r="N25" s="97" t="str">
        <f t="shared" si="6"/>
        <v/>
      </c>
      <c r="O25" s="97" t="str">
        <f t="shared" si="6"/>
        <v/>
      </c>
      <c r="P25" s="97" t="str">
        <f t="shared" si="6"/>
        <v/>
      </c>
      <c r="Q25" s="97" t="str">
        <f t="shared" si="6"/>
        <v/>
      </c>
      <c r="R25" s="97" t="str">
        <f t="shared" si="6"/>
        <v/>
      </c>
      <c r="S25" s="96"/>
      <c r="T25" s="92"/>
      <c r="U25" s="93"/>
      <c r="V25" s="100">
        <f>COUNTIF(G25:R25,"○")</f>
        <v>0</v>
      </c>
      <c r="W25" s="64"/>
      <c r="X25" s="20"/>
    </row>
    <row r="26" spans="2:24" ht="29.25" customHeight="1" x14ac:dyDescent="0.45">
      <c r="B26" s="259"/>
      <c r="C26" s="341"/>
      <c r="D26" s="342"/>
      <c r="E26" s="338"/>
      <c r="F26" s="95" t="str">
        <f>IF(F24="","",IF(F24="国保","被保","特定"))</f>
        <v/>
      </c>
      <c r="G26" s="95" t="str">
        <f>IF(G24="","",IF(G24="国保","被保","特定"))</f>
        <v>被保</v>
      </c>
      <c r="H26" s="95" t="str">
        <f t="shared" ref="H26:R26" si="7">IF(H24="","",IF(H24="国保","被保","特定"))</f>
        <v>被保</v>
      </c>
      <c r="I26" s="95" t="str">
        <f t="shared" si="7"/>
        <v>被保</v>
      </c>
      <c r="J26" s="95" t="str">
        <f t="shared" si="7"/>
        <v>被保</v>
      </c>
      <c r="K26" s="95" t="str">
        <f t="shared" si="7"/>
        <v>被保</v>
      </c>
      <c r="L26" s="95" t="str">
        <f t="shared" si="7"/>
        <v>被保</v>
      </c>
      <c r="M26" s="95" t="str">
        <f t="shared" si="7"/>
        <v>被保</v>
      </c>
      <c r="N26" s="95" t="str">
        <f t="shared" si="7"/>
        <v>被保</v>
      </c>
      <c r="O26" s="95" t="str">
        <f t="shared" si="7"/>
        <v>被保</v>
      </c>
      <c r="P26" s="95" t="str">
        <f t="shared" si="7"/>
        <v>被保</v>
      </c>
      <c r="Q26" s="95" t="str">
        <f t="shared" si="7"/>
        <v>被保</v>
      </c>
      <c r="R26" s="95" t="str">
        <f t="shared" si="7"/>
        <v>被保</v>
      </c>
      <c r="S26" s="96">
        <f>COUNTIF(G26:R26,"被保")</f>
        <v>12</v>
      </c>
      <c r="T26" s="92"/>
      <c r="U26" s="93"/>
      <c r="V26" s="100" t="str">
        <f>IF(COUNTIF(G24:R24,"国保")&gt;=1,"被保険者","")</f>
        <v>被保険者</v>
      </c>
      <c r="W26" s="64"/>
      <c r="X26" s="20"/>
    </row>
    <row r="27" spans="2:24" ht="29.25" customHeight="1" x14ac:dyDescent="0.45">
      <c r="B27" s="259" t="s">
        <v>17</v>
      </c>
      <c r="C27" s="341"/>
      <c r="D27" s="342"/>
      <c r="E27" s="338"/>
      <c r="F27" s="97"/>
      <c r="G27" s="97"/>
      <c r="H27" s="97"/>
      <c r="I27" s="97"/>
      <c r="J27" s="97"/>
      <c r="K27" s="97"/>
      <c r="L27" s="97"/>
      <c r="M27" s="97"/>
      <c r="N27" s="97"/>
      <c r="O27" s="97"/>
      <c r="P27" s="97"/>
      <c r="Q27" s="97"/>
      <c r="R27" s="98"/>
      <c r="S27" s="99"/>
      <c r="T27" s="343"/>
      <c r="U27" s="344"/>
      <c r="V27" s="100">
        <f>COUNTIF(G27:R27,"国保")+COUNTIF(G27:R27,"後期")</f>
        <v>0</v>
      </c>
      <c r="W27" s="64"/>
      <c r="X27" s="20"/>
    </row>
    <row r="28" spans="2:24" ht="29.25" customHeight="1" x14ac:dyDescent="0.45">
      <c r="B28" s="259"/>
      <c r="C28" s="341"/>
      <c r="D28" s="342"/>
      <c r="E28" s="338"/>
      <c r="F28" s="72"/>
      <c r="G28" s="73" t="str">
        <f>IF(G27="","",IF(AND(G$13&gt;=$AM$53,G$13&lt;$AN$53),"○",""))</f>
        <v/>
      </c>
      <c r="H28" s="73" t="str">
        <f t="shared" ref="H28:R28" si="8">IF(H27="","",IF(AND(H$13&gt;=$AM$53,H$13&lt;$AN$53),"○",""))</f>
        <v/>
      </c>
      <c r="I28" s="73" t="str">
        <f t="shared" si="8"/>
        <v/>
      </c>
      <c r="J28" s="73" t="str">
        <f t="shared" si="8"/>
        <v/>
      </c>
      <c r="K28" s="73" t="str">
        <f t="shared" si="8"/>
        <v/>
      </c>
      <c r="L28" s="73" t="str">
        <f t="shared" si="8"/>
        <v/>
      </c>
      <c r="M28" s="73" t="str">
        <f t="shared" si="8"/>
        <v/>
      </c>
      <c r="N28" s="73" t="str">
        <f t="shared" si="8"/>
        <v/>
      </c>
      <c r="O28" s="73" t="str">
        <f t="shared" si="8"/>
        <v/>
      </c>
      <c r="P28" s="73" t="str">
        <f t="shared" si="8"/>
        <v/>
      </c>
      <c r="Q28" s="73" t="str">
        <f t="shared" si="8"/>
        <v/>
      </c>
      <c r="R28" s="73" t="str">
        <f t="shared" si="8"/>
        <v/>
      </c>
      <c r="S28" s="96"/>
      <c r="T28" s="92"/>
      <c r="U28" s="93"/>
      <c r="V28" s="100">
        <f>COUNTIF(G28:R28,"○")</f>
        <v>0</v>
      </c>
      <c r="W28" s="64"/>
      <c r="X28" s="20"/>
    </row>
    <row r="29" spans="2:24" ht="29.25" customHeight="1" x14ac:dyDescent="0.45">
      <c r="B29" s="259"/>
      <c r="C29" s="341"/>
      <c r="D29" s="342"/>
      <c r="E29" s="338"/>
      <c r="F29" s="75" t="str">
        <f>IF(F27="","",IF(F27="国保","被保","特定"))</f>
        <v/>
      </c>
      <c r="G29" s="75" t="str">
        <f>IF(G27="","",IF(G27="国保","被保","特定"))</f>
        <v/>
      </c>
      <c r="H29" s="75" t="str">
        <f t="shared" ref="H29:R29" si="9">IF(H27="","",IF(H27="国保","被保","特定"))</f>
        <v/>
      </c>
      <c r="I29" s="75" t="str">
        <f t="shared" si="9"/>
        <v/>
      </c>
      <c r="J29" s="75" t="str">
        <f t="shared" si="9"/>
        <v/>
      </c>
      <c r="K29" s="75" t="str">
        <f t="shared" si="9"/>
        <v/>
      </c>
      <c r="L29" s="75" t="str">
        <f t="shared" si="9"/>
        <v/>
      </c>
      <c r="M29" s="75" t="str">
        <f t="shared" si="9"/>
        <v/>
      </c>
      <c r="N29" s="75" t="str">
        <f t="shared" si="9"/>
        <v/>
      </c>
      <c r="O29" s="75" t="str">
        <f t="shared" si="9"/>
        <v/>
      </c>
      <c r="P29" s="75" t="str">
        <f t="shared" si="9"/>
        <v/>
      </c>
      <c r="Q29" s="75" t="str">
        <f t="shared" si="9"/>
        <v/>
      </c>
      <c r="R29" s="75" t="str">
        <f t="shared" si="9"/>
        <v/>
      </c>
      <c r="S29" s="96">
        <f>COUNTIF(G29:R29,"被保")</f>
        <v>0</v>
      </c>
      <c r="T29" s="92"/>
      <c r="U29" s="93"/>
      <c r="V29" s="100" t="str">
        <f>IF(COUNTIF(G27:R27,"国保")&gt;=1,"被保険者","")</f>
        <v/>
      </c>
      <c r="W29" s="64"/>
      <c r="X29" s="20"/>
    </row>
    <row r="30" spans="2:24" ht="29.25" customHeight="1" x14ac:dyDescent="0.45">
      <c r="B30" s="259" t="s">
        <v>18</v>
      </c>
      <c r="C30" s="341"/>
      <c r="D30" s="342"/>
      <c r="E30" s="338"/>
      <c r="F30" s="73"/>
      <c r="G30" s="73"/>
      <c r="H30" s="73"/>
      <c r="I30" s="73"/>
      <c r="J30" s="73"/>
      <c r="K30" s="73"/>
      <c r="L30" s="73"/>
      <c r="M30" s="73"/>
      <c r="N30" s="73"/>
      <c r="O30" s="73"/>
      <c r="P30" s="73"/>
      <c r="Q30" s="73"/>
      <c r="R30" s="73"/>
      <c r="S30" s="99"/>
      <c r="T30" s="343"/>
      <c r="U30" s="344"/>
      <c r="V30" s="100">
        <f>COUNTIF(G30:R30,"国保")+COUNTIF(G30:R30,"後期")</f>
        <v>0</v>
      </c>
      <c r="W30" s="64"/>
      <c r="X30" s="20"/>
    </row>
    <row r="31" spans="2:24" ht="29.25" customHeight="1" x14ac:dyDescent="0.45">
      <c r="B31" s="259"/>
      <c r="C31" s="341"/>
      <c r="D31" s="342"/>
      <c r="E31" s="338"/>
      <c r="F31" s="72"/>
      <c r="G31" s="73" t="str">
        <f>IF(G30="","",IF(AND(G13&gt;=$AM$54,G13&lt;$AN$54),"○",""))</f>
        <v/>
      </c>
      <c r="H31" s="73" t="str">
        <f t="shared" ref="H31:R31" si="10">IF(H30="","",IF(AND(H13&gt;=$AM$54,H13&lt;$AN$54),"○",""))</f>
        <v/>
      </c>
      <c r="I31" s="73" t="str">
        <f t="shared" si="10"/>
        <v/>
      </c>
      <c r="J31" s="73" t="str">
        <f t="shared" si="10"/>
        <v/>
      </c>
      <c r="K31" s="73" t="str">
        <f t="shared" si="10"/>
        <v/>
      </c>
      <c r="L31" s="73" t="str">
        <f t="shared" si="10"/>
        <v/>
      </c>
      <c r="M31" s="73" t="str">
        <f t="shared" si="10"/>
        <v/>
      </c>
      <c r="N31" s="73" t="str">
        <f t="shared" si="10"/>
        <v/>
      </c>
      <c r="O31" s="73" t="str">
        <f t="shared" si="10"/>
        <v/>
      </c>
      <c r="P31" s="73" t="str">
        <f t="shared" si="10"/>
        <v/>
      </c>
      <c r="Q31" s="73" t="str">
        <f t="shared" si="10"/>
        <v/>
      </c>
      <c r="R31" s="73" t="str">
        <f t="shared" si="10"/>
        <v/>
      </c>
      <c r="S31" s="96"/>
      <c r="T31" s="92"/>
      <c r="U31" s="93"/>
      <c r="V31" s="100">
        <f>COUNTIF(G31:R31,"○")</f>
        <v>0</v>
      </c>
      <c r="W31" s="64"/>
      <c r="X31" s="20"/>
    </row>
    <row r="32" spans="2:24" ht="29.25" customHeight="1" x14ac:dyDescent="0.45">
      <c r="B32" s="259"/>
      <c r="C32" s="341"/>
      <c r="D32" s="342"/>
      <c r="E32" s="338"/>
      <c r="F32" s="75" t="str">
        <f t="shared" ref="F32:R41" si="11">IF(F30="","",IF(F30="国保","被保","特定"))</f>
        <v/>
      </c>
      <c r="G32" s="75" t="str">
        <f t="shared" si="11"/>
        <v/>
      </c>
      <c r="H32" s="75" t="str">
        <f t="shared" si="11"/>
        <v/>
      </c>
      <c r="I32" s="75" t="str">
        <f t="shared" si="11"/>
        <v/>
      </c>
      <c r="J32" s="75" t="str">
        <f t="shared" si="11"/>
        <v/>
      </c>
      <c r="K32" s="75" t="str">
        <f t="shared" si="11"/>
        <v/>
      </c>
      <c r="L32" s="75" t="str">
        <f t="shared" si="11"/>
        <v/>
      </c>
      <c r="M32" s="75" t="str">
        <f t="shared" si="11"/>
        <v/>
      </c>
      <c r="N32" s="75" t="str">
        <f t="shared" si="11"/>
        <v/>
      </c>
      <c r="O32" s="75" t="str">
        <f t="shared" si="11"/>
        <v/>
      </c>
      <c r="P32" s="75" t="str">
        <f t="shared" si="11"/>
        <v/>
      </c>
      <c r="Q32" s="75" t="str">
        <f t="shared" si="11"/>
        <v/>
      </c>
      <c r="R32" s="75" t="str">
        <f t="shared" si="11"/>
        <v/>
      </c>
      <c r="S32" s="96">
        <f>COUNTIF(G32:R32,"被保")</f>
        <v>0</v>
      </c>
      <c r="T32" s="92"/>
      <c r="U32" s="93"/>
      <c r="V32" s="100" t="str">
        <f>IF(COUNTIF(G30:R30,"国保")&gt;=1,"被保険者","")</f>
        <v/>
      </c>
      <c r="W32" s="64"/>
      <c r="X32" s="20"/>
    </row>
    <row r="33" spans="1:58" ht="29.25" customHeight="1" x14ac:dyDescent="0.45">
      <c r="B33" s="259" t="s">
        <v>19</v>
      </c>
      <c r="C33" s="341"/>
      <c r="D33" s="342"/>
      <c r="E33" s="338"/>
      <c r="F33" s="73"/>
      <c r="G33" s="73"/>
      <c r="H33" s="73"/>
      <c r="I33" s="73"/>
      <c r="J33" s="73"/>
      <c r="K33" s="73"/>
      <c r="L33" s="73"/>
      <c r="M33" s="73"/>
      <c r="N33" s="73"/>
      <c r="O33" s="73"/>
      <c r="P33" s="73"/>
      <c r="Q33" s="73"/>
      <c r="R33" s="73"/>
      <c r="S33" s="99"/>
      <c r="T33" s="343"/>
      <c r="U33" s="344"/>
      <c r="V33" s="100">
        <f>COUNTIF(G33:R33,"国保")+COUNTIF(G33:R33,"後期")</f>
        <v>0</v>
      </c>
      <c r="W33" s="64"/>
      <c r="X33" s="20"/>
    </row>
    <row r="34" spans="1:58" ht="29.25" customHeight="1" x14ac:dyDescent="0.45">
      <c r="B34" s="259"/>
      <c r="C34" s="341"/>
      <c r="D34" s="342"/>
      <c r="E34" s="338"/>
      <c r="F34" s="72"/>
      <c r="G34" s="73" t="str">
        <f>IF(G33="","",IF(AND(G13&gt;=$AM$55,G13&lt;$AN$55),"○",""))</f>
        <v/>
      </c>
      <c r="H34" s="73" t="str">
        <f t="shared" ref="H34:R34" si="12">IF(H33="","",IF(AND(H13&gt;=$AM$55,H13&lt;$AN$55),"○",""))</f>
        <v/>
      </c>
      <c r="I34" s="73" t="str">
        <f t="shared" si="12"/>
        <v/>
      </c>
      <c r="J34" s="73" t="str">
        <f t="shared" si="12"/>
        <v/>
      </c>
      <c r="K34" s="73" t="str">
        <f t="shared" si="12"/>
        <v/>
      </c>
      <c r="L34" s="73" t="str">
        <f t="shared" si="12"/>
        <v/>
      </c>
      <c r="M34" s="73" t="str">
        <f t="shared" si="12"/>
        <v/>
      </c>
      <c r="N34" s="73" t="str">
        <f t="shared" si="12"/>
        <v/>
      </c>
      <c r="O34" s="73" t="str">
        <f t="shared" si="12"/>
        <v/>
      </c>
      <c r="P34" s="73" t="str">
        <f t="shared" si="12"/>
        <v/>
      </c>
      <c r="Q34" s="73" t="str">
        <f t="shared" si="12"/>
        <v/>
      </c>
      <c r="R34" s="73" t="str">
        <f t="shared" si="12"/>
        <v/>
      </c>
      <c r="S34" s="96"/>
      <c r="T34" s="92"/>
      <c r="U34" s="93"/>
      <c r="V34" s="100">
        <f>COUNTIF(G34:R34,"○")</f>
        <v>0</v>
      </c>
      <c r="W34" s="64"/>
      <c r="X34" s="20"/>
    </row>
    <row r="35" spans="1:58" ht="29.25" customHeight="1" x14ac:dyDescent="0.45">
      <c r="B35" s="259"/>
      <c r="C35" s="341"/>
      <c r="D35" s="342"/>
      <c r="E35" s="338"/>
      <c r="F35" s="75" t="str">
        <f t="shared" si="11"/>
        <v/>
      </c>
      <c r="G35" s="75" t="str">
        <f t="shared" si="11"/>
        <v/>
      </c>
      <c r="H35" s="75" t="str">
        <f t="shared" si="11"/>
        <v/>
      </c>
      <c r="I35" s="75" t="str">
        <f t="shared" si="11"/>
        <v/>
      </c>
      <c r="J35" s="75" t="str">
        <f t="shared" si="11"/>
        <v/>
      </c>
      <c r="K35" s="75" t="str">
        <f t="shared" si="11"/>
        <v/>
      </c>
      <c r="L35" s="75" t="str">
        <f t="shared" si="11"/>
        <v/>
      </c>
      <c r="M35" s="75" t="str">
        <f t="shared" si="11"/>
        <v/>
      </c>
      <c r="N35" s="75" t="str">
        <f t="shared" si="11"/>
        <v/>
      </c>
      <c r="O35" s="75" t="str">
        <f t="shared" si="11"/>
        <v/>
      </c>
      <c r="P35" s="75" t="str">
        <f t="shared" si="11"/>
        <v/>
      </c>
      <c r="Q35" s="75" t="str">
        <f t="shared" si="11"/>
        <v/>
      </c>
      <c r="R35" s="75" t="str">
        <f t="shared" si="11"/>
        <v/>
      </c>
      <c r="S35" s="96">
        <f>COUNTIF(G35:R35,"被保")</f>
        <v>0</v>
      </c>
      <c r="T35" s="92"/>
      <c r="U35" s="93"/>
      <c r="V35" s="100" t="str">
        <f>IF(COUNTIF(G33:R33,"国保")&gt;=1,"被保険者","")</f>
        <v/>
      </c>
      <c r="W35" s="64"/>
      <c r="X35" s="20"/>
    </row>
    <row r="36" spans="1:58" ht="29.25" customHeight="1" x14ac:dyDescent="0.45">
      <c r="B36" s="259" t="s">
        <v>20</v>
      </c>
      <c r="C36" s="341"/>
      <c r="D36" s="342"/>
      <c r="E36" s="338"/>
      <c r="F36" s="73"/>
      <c r="G36" s="73"/>
      <c r="H36" s="73"/>
      <c r="I36" s="73"/>
      <c r="J36" s="73"/>
      <c r="K36" s="73"/>
      <c r="L36" s="73"/>
      <c r="M36" s="73"/>
      <c r="N36" s="73"/>
      <c r="O36" s="73"/>
      <c r="P36" s="73"/>
      <c r="Q36" s="73"/>
      <c r="R36" s="73"/>
      <c r="S36" s="99"/>
      <c r="T36" s="343"/>
      <c r="U36" s="344"/>
      <c r="V36" s="100">
        <f>COUNTIF(G36:R36,"国保")+COUNTIF(G36:R36,"後期")</f>
        <v>0</v>
      </c>
      <c r="W36" s="64"/>
      <c r="X36" s="20"/>
    </row>
    <row r="37" spans="1:58" ht="30" customHeight="1" x14ac:dyDescent="0.45">
      <c r="B37" s="259"/>
      <c r="C37" s="341"/>
      <c r="D37" s="342"/>
      <c r="E37" s="338"/>
      <c r="F37" s="72"/>
      <c r="G37" s="73" t="str">
        <f>IF(G36="","",IF(AND(G13&gt;=$AM$56,G13&lt;$AN$56),"○",""))</f>
        <v/>
      </c>
      <c r="H37" s="73" t="str">
        <f t="shared" ref="H37:R37" si="13">IF(H36="","",IF(AND(H13&gt;=$AM$56,H13&lt;$AN$56),"○",""))</f>
        <v/>
      </c>
      <c r="I37" s="73" t="str">
        <f t="shared" si="13"/>
        <v/>
      </c>
      <c r="J37" s="73" t="str">
        <f t="shared" si="13"/>
        <v/>
      </c>
      <c r="K37" s="73" t="str">
        <f t="shared" si="13"/>
        <v/>
      </c>
      <c r="L37" s="73" t="str">
        <f t="shared" si="13"/>
        <v/>
      </c>
      <c r="M37" s="73" t="str">
        <f t="shared" si="13"/>
        <v/>
      </c>
      <c r="N37" s="73" t="str">
        <f t="shared" si="13"/>
        <v/>
      </c>
      <c r="O37" s="73" t="str">
        <f t="shared" si="13"/>
        <v/>
      </c>
      <c r="P37" s="73" t="str">
        <f t="shared" si="13"/>
        <v/>
      </c>
      <c r="Q37" s="73" t="str">
        <f t="shared" si="13"/>
        <v/>
      </c>
      <c r="R37" s="73" t="str">
        <f t="shared" si="13"/>
        <v/>
      </c>
      <c r="S37" s="101"/>
      <c r="T37" s="92"/>
      <c r="U37" s="93"/>
      <c r="V37" s="100">
        <f>COUNTIF(G37:R37,"○")</f>
        <v>0</v>
      </c>
      <c r="W37" s="64"/>
      <c r="X37" s="20"/>
    </row>
    <row r="38" spans="1:58" ht="30" customHeight="1" x14ac:dyDescent="0.45">
      <c r="B38" s="284"/>
      <c r="C38" s="341"/>
      <c r="D38" s="342"/>
      <c r="E38" s="338"/>
      <c r="F38" s="75" t="str">
        <f t="shared" si="11"/>
        <v/>
      </c>
      <c r="G38" s="75" t="str">
        <f t="shared" si="11"/>
        <v/>
      </c>
      <c r="H38" s="75" t="str">
        <f t="shared" si="11"/>
        <v/>
      </c>
      <c r="I38" s="75" t="str">
        <f t="shared" si="11"/>
        <v/>
      </c>
      <c r="J38" s="75" t="str">
        <f t="shared" si="11"/>
        <v/>
      </c>
      <c r="K38" s="75" t="str">
        <f t="shared" si="11"/>
        <v/>
      </c>
      <c r="L38" s="75" t="str">
        <f t="shared" si="11"/>
        <v/>
      </c>
      <c r="M38" s="75" t="str">
        <f t="shared" si="11"/>
        <v/>
      </c>
      <c r="N38" s="75" t="str">
        <f t="shared" si="11"/>
        <v/>
      </c>
      <c r="O38" s="75" t="str">
        <f t="shared" si="11"/>
        <v/>
      </c>
      <c r="P38" s="75" t="str">
        <f t="shared" si="11"/>
        <v/>
      </c>
      <c r="Q38" s="75" t="str">
        <f t="shared" si="11"/>
        <v/>
      </c>
      <c r="R38" s="75" t="str">
        <f t="shared" si="11"/>
        <v/>
      </c>
      <c r="S38" s="96">
        <f>COUNTIF(G38:R38,"被保")</f>
        <v>0</v>
      </c>
      <c r="T38" s="92"/>
      <c r="U38" s="93"/>
      <c r="V38" s="100" t="str">
        <f>IF(COUNTIF(G36:R36,"国保")&gt;=1,"被保険者","")</f>
        <v/>
      </c>
      <c r="W38" s="64"/>
      <c r="X38" s="20"/>
    </row>
    <row r="39" spans="1:58" ht="30" customHeight="1" x14ac:dyDescent="0.45">
      <c r="B39" s="259" t="s">
        <v>21</v>
      </c>
      <c r="C39" s="341"/>
      <c r="D39" s="342"/>
      <c r="E39" s="338"/>
      <c r="F39" s="73"/>
      <c r="G39" s="73"/>
      <c r="H39" s="73"/>
      <c r="I39" s="73"/>
      <c r="J39" s="73"/>
      <c r="K39" s="73"/>
      <c r="L39" s="73"/>
      <c r="M39" s="73"/>
      <c r="N39" s="73"/>
      <c r="O39" s="73"/>
      <c r="P39" s="73"/>
      <c r="Q39" s="73"/>
      <c r="R39" s="73"/>
      <c r="S39" s="109"/>
      <c r="T39" s="348"/>
      <c r="U39" s="349"/>
      <c r="V39" s="89">
        <f>COUNTIF(G39:R39,"国保")+COUNTIF(G39:R39,"後期")</f>
        <v>0</v>
      </c>
      <c r="W39" s="64"/>
      <c r="X39" s="20"/>
    </row>
    <row r="40" spans="1:58" ht="30" customHeight="1" x14ac:dyDescent="0.45">
      <c r="B40" s="259"/>
      <c r="C40" s="341"/>
      <c r="D40" s="342"/>
      <c r="E40" s="338"/>
      <c r="F40" s="72"/>
      <c r="G40" s="73" t="str">
        <f>IF(G39="","",IF(AND(G13&gt;=$AM$57,G13&lt;$AN$57),"○",""))</f>
        <v/>
      </c>
      <c r="H40" s="73" t="str">
        <f t="shared" ref="H40:R40" si="14">IF(H39="","",IF(AND(H37&gt;=$AM$49,H37&lt;$AN$49),"○",""))</f>
        <v/>
      </c>
      <c r="I40" s="73" t="str">
        <f t="shared" si="14"/>
        <v/>
      </c>
      <c r="J40" s="73" t="str">
        <f t="shared" si="14"/>
        <v/>
      </c>
      <c r="K40" s="73" t="str">
        <f t="shared" si="14"/>
        <v/>
      </c>
      <c r="L40" s="73" t="str">
        <f t="shared" si="14"/>
        <v/>
      </c>
      <c r="M40" s="73" t="str">
        <f t="shared" si="14"/>
        <v/>
      </c>
      <c r="N40" s="73" t="str">
        <f t="shared" si="14"/>
        <v/>
      </c>
      <c r="O40" s="73" t="str">
        <f t="shared" si="14"/>
        <v/>
      </c>
      <c r="P40" s="73" t="str">
        <f t="shared" si="14"/>
        <v/>
      </c>
      <c r="Q40" s="73" t="str">
        <f t="shared" si="14"/>
        <v/>
      </c>
      <c r="R40" s="111" t="str">
        <f t="shared" si="14"/>
        <v/>
      </c>
      <c r="S40" s="96">
        <f>COUNTIF(G40:R40,"○")</f>
        <v>0</v>
      </c>
      <c r="T40" s="110"/>
      <c r="U40" s="93"/>
      <c r="V40" s="116"/>
      <c r="W40" s="64"/>
      <c r="X40" s="20"/>
    </row>
    <row r="41" spans="1:58" ht="30" customHeight="1" thickBot="1" x14ac:dyDescent="0.5">
      <c r="B41" s="259"/>
      <c r="C41" s="345"/>
      <c r="D41" s="346"/>
      <c r="E41" s="347"/>
      <c r="F41" s="74" t="str">
        <f t="shared" si="11"/>
        <v/>
      </c>
      <c r="G41" s="74" t="str">
        <f t="shared" si="11"/>
        <v/>
      </c>
      <c r="H41" s="74" t="str">
        <f t="shared" si="11"/>
        <v/>
      </c>
      <c r="I41" s="74" t="str">
        <f t="shared" si="11"/>
        <v/>
      </c>
      <c r="J41" s="74" t="str">
        <f t="shared" si="11"/>
        <v/>
      </c>
      <c r="K41" s="74" t="str">
        <f t="shared" si="11"/>
        <v/>
      </c>
      <c r="L41" s="74" t="str">
        <f t="shared" si="11"/>
        <v/>
      </c>
      <c r="M41" s="74" t="str">
        <f t="shared" si="11"/>
        <v/>
      </c>
      <c r="N41" s="74" t="str">
        <f t="shared" si="11"/>
        <v/>
      </c>
      <c r="O41" s="74" t="str">
        <f t="shared" si="11"/>
        <v/>
      </c>
      <c r="P41" s="74" t="str">
        <f t="shared" si="11"/>
        <v/>
      </c>
      <c r="Q41" s="74" t="str">
        <f t="shared" si="11"/>
        <v/>
      </c>
      <c r="R41" s="112" t="str">
        <f t="shared" si="11"/>
        <v/>
      </c>
      <c r="S41" s="113" t="str">
        <f>IF(COUNTIF(G39:R39,"国保")&gt;=1,"被保険者","")</f>
        <v/>
      </c>
      <c r="T41" s="114">
        <f>COUNTIF(G41:R41,"被保")</f>
        <v>0</v>
      </c>
      <c r="U41" s="115"/>
      <c r="V41" s="116"/>
      <c r="W41" s="64"/>
      <c r="X41" s="20"/>
    </row>
    <row r="42" spans="1:58" ht="30" customHeight="1" thickTop="1" x14ac:dyDescent="0.45">
      <c r="A42" s="67"/>
      <c r="B42" s="69"/>
      <c r="C42" s="268" t="s">
        <v>88</v>
      </c>
      <c r="D42" s="269"/>
      <c r="E42" s="270"/>
      <c r="F42" s="105">
        <f t="shared" ref="F42:R42" si="15">COUNTIF(F15:F41,"普主")+COUNTIF(F15:F41,"特擬")+COUNTIF(F15:F41,"被保")+COUNTIF(F15:F41,"特定")</f>
        <v>0</v>
      </c>
      <c r="G42" s="106">
        <f t="shared" si="15"/>
        <v>4</v>
      </c>
      <c r="H42" s="106">
        <f t="shared" si="15"/>
        <v>4</v>
      </c>
      <c r="I42" s="106">
        <f t="shared" si="15"/>
        <v>4</v>
      </c>
      <c r="J42" s="106">
        <f t="shared" si="15"/>
        <v>4</v>
      </c>
      <c r="K42" s="106">
        <f t="shared" si="15"/>
        <v>4</v>
      </c>
      <c r="L42" s="106">
        <f t="shared" si="15"/>
        <v>4</v>
      </c>
      <c r="M42" s="106">
        <f t="shared" si="15"/>
        <v>4</v>
      </c>
      <c r="N42" s="106">
        <f t="shared" si="15"/>
        <v>4</v>
      </c>
      <c r="O42" s="106">
        <f t="shared" si="15"/>
        <v>4</v>
      </c>
      <c r="P42" s="106">
        <f t="shared" si="15"/>
        <v>4</v>
      </c>
      <c r="Q42" s="106">
        <f t="shared" si="15"/>
        <v>4</v>
      </c>
      <c r="R42" s="106">
        <f t="shared" si="15"/>
        <v>4</v>
      </c>
      <c r="S42" s="80"/>
      <c r="T42" s="103"/>
      <c r="U42" s="271"/>
      <c r="V42" s="272"/>
      <c r="W42" s="64"/>
      <c r="X42" s="20"/>
    </row>
    <row r="43" spans="1:58" ht="30" customHeight="1" x14ac:dyDescent="0.45">
      <c r="A43" s="67"/>
      <c r="B43" s="21"/>
      <c r="C43" s="276" t="s">
        <v>72</v>
      </c>
      <c r="D43" s="277"/>
      <c r="E43" s="278"/>
      <c r="F43" s="68"/>
      <c r="G43" s="34" t="str">
        <f t="shared" ref="G43:R43" si="16">IF(COUNTIF(G15:G41,"国保")&gt;=1,"○","")</f>
        <v>○</v>
      </c>
      <c r="H43" s="34" t="str">
        <f t="shared" si="16"/>
        <v>○</v>
      </c>
      <c r="I43" s="34" t="str">
        <f t="shared" si="16"/>
        <v>○</v>
      </c>
      <c r="J43" s="34" t="str">
        <f t="shared" si="16"/>
        <v>○</v>
      </c>
      <c r="K43" s="34" t="str">
        <f t="shared" si="16"/>
        <v>○</v>
      </c>
      <c r="L43" s="34" t="str">
        <f t="shared" si="16"/>
        <v>○</v>
      </c>
      <c r="M43" s="34" t="str">
        <f t="shared" si="16"/>
        <v>○</v>
      </c>
      <c r="N43" s="34" t="str">
        <f t="shared" si="16"/>
        <v>○</v>
      </c>
      <c r="O43" s="34" t="str">
        <f t="shared" si="16"/>
        <v>○</v>
      </c>
      <c r="P43" s="34" t="str">
        <f t="shared" si="16"/>
        <v>○</v>
      </c>
      <c r="Q43" s="34" t="str">
        <f t="shared" si="16"/>
        <v>○</v>
      </c>
      <c r="R43" s="34" t="str">
        <f t="shared" si="16"/>
        <v>○</v>
      </c>
      <c r="S43" s="26">
        <f>COUNTIF(G43:R43,"○")</f>
        <v>12</v>
      </c>
      <c r="T43" s="26"/>
      <c r="U43" s="271"/>
      <c r="V43" s="273"/>
      <c r="W43" s="66"/>
      <c r="AI43" s="1"/>
      <c r="AJ43" s="16"/>
      <c r="AK43" s="16"/>
      <c r="AL43" s="16"/>
      <c r="AM43" s="16"/>
      <c r="AN43" s="16"/>
      <c r="AO43" s="15"/>
      <c r="AP43" s="16"/>
      <c r="AQ43" s="16"/>
      <c r="AR43" s="16"/>
      <c r="AS43" s="16"/>
      <c r="AT43" s="16"/>
      <c r="AU43" s="16"/>
      <c r="AV43" s="16"/>
      <c r="AW43" s="17"/>
      <c r="AX43" s="5"/>
      <c r="AY43" s="8"/>
      <c r="AZ43" s="8"/>
      <c r="BA43" s="5"/>
      <c r="BB43" s="8"/>
      <c r="BC43" s="8"/>
      <c r="BD43" s="8"/>
      <c r="BE43" s="5"/>
      <c r="BF43" s="5"/>
    </row>
    <row r="44" spans="1:58" ht="30" customHeight="1" x14ac:dyDescent="0.45">
      <c r="A44" s="67"/>
      <c r="B44" s="21"/>
      <c r="C44" s="276" t="s">
        <v>73</v>
      </c>
      <c r="D44" s="277"/>
      <c r="E44" s="278"/>
      <c r="F44" s="68"/>
      <c r="G44" s="34" t="str">
        <f t="shared" ref="G44:R44" si="17">IF(COUNTIF(G15:G41,"○")&gt;=1,"○","")</f>
        <v>○</v>
      </c>
      <c r="H44" s="34" t="str">
        <f t="shared" si="17"/>
        <v>○</v>
      </c>
      <c r="I44" s="34" t="str">
        <f t="shared" si="17"/>
        <v>○</v>
      </c>
      <c r="J44" s="34" t="str">
        <f t="shared" si="17"/>
        <v>○</v>
      </c>
      <c r="K44" s="34" t="str">
        <f t="shared" si="17"/>
        <v>○</v>
      </c>
      <c r="L44" s="34" t="str">
        <f t="shared" si="17"/>
        <v>○</v>
      </c>
      <c r="M44" s="34" t="str">
        <f t="shared" si="17"/>
        <v>○</v>
      </c>
      <c r="N44" s="34" t="str">
        <f t="shared" si="17"/>
        <v>○</v>
      </c>
      <c r="O44" s="34" t="str">
        <f t="shared" si="17"/>
        <v>○</v>
      </c>
      <c r="P44" s="34" t="str">
        <f t="shared" si="17"/>
        <v>○</v>
      </c>
      <c r="Q44" s="34" t="str">
        <f t="shared" si="17"/>
        <v>○</v>
      </c>
      <c r="R44" s="34" t="str">
        <f t="shared" si="17"/>
        <v>○</v>
      </c>
      <c r="S44" s="26">
        <f>COUNTIF(G44:R44,"○")</f>
        <v>12</v>
      </c>
      <c r="T44" s="26"/>
      <c r="U44" s="271"/>
      <c r="V44" s="273"/>
      <c r="W44" s="66"/>
      <c r="AI44" s="1"/>
      <c r="AJ44" s="16"/>
      <c r="AK44" s="16"/>
      <c r="AL44" s="16"/>
      <c r="AM44" s="16"/>
      <c r="AN44" s="16"/>
      <c r="AO44" s="15"/>
      <c r="AP44" s="16"/>
      <c r="AQ44" s="16"/>
      <c r="AR44" s="16"/>
      <c r="AS44" s="16"/>
      <c r="AT44" s="16"/>
      <c r="AU44" s="16"/>
      <c r="AV44" s="16"/>
      <c r="AW44" s="17"/>
      <c r="AX44" s="5"/>
      <c r="AY44" s="8"/>
      <c r="AZ44" s="8"/>
      <c r="BA44" s="5"/>
      <c r="BB44" s="8"/>
      <c r="BC44" s="8"/>
      <c r="BD44" s="8"/>
      <c r="BE44" s="5"/>
      <c r="BF44" s="5"/>
    </row>
    <row r="45" spans="1:58" ht="30" customHeight="1" thickBot="1" x14ac:dyDescent="0.5">
      <c r="A45" s="67"/>
      <c r="B45" s="22"/>
      <c r="C45" s="279" t="s">
        <v>57</v>
      </c>
      <c r="D45" s="280"/>
      <c r="E45" s="281"/>
      <c r="F45" s="38" t="str">
        <f>IF(AND(COUNTIF(F15:F41,"（特）後期")&gt;=1,COUNTIF(F15:F41,"国保")=1,F14&gt;=$AC$5,F14&lt;$AC$6),"特定",IF(AND(COUNTIF(F15:F41,"（特）後期")&gt;=1,COUNTIF(F15:F41,"国保")=1,F14&gt;=$AC$6,F14&lt;$AC$7),"特継",""))</f>
        <v/>
      </c>
      <c r="G45" s="38" t="str">
        <f t="shared" ref="G45:R45" si="18">IF(F45="","",IF(AND(COUNTIF(G15:G41,"（特）後期")&gt;=1,COUNTIF(G15:G41,"国保")=1,G13&gt;=$AC$5,G13&lt;$AC$6),"特定",IF(AND(COUNTIF(G15:G41,"（特）後期")&gt;=1,COUNTIF(G15:G41,"国保")=1,G13&gt;=$AC$6,G13&lt;$AC$7),"特継","")))</f>
        <v/>
      </c>
      <c r="H45" s="38" t="str">
        <f t="shared" si="18"/>
        <v/>
      </c>
      <c r="I45" s="38" t="str">
        <f t="shared" si="18"/>
        <v/>
      </c>
      <c r="J45" s="38" t="str">
        <f t="shared" si="18"/>
        <v/>
      </c>
      <c r="K45" s="38" t="str">
        <f t="shared" si="18"/>
        <v/>
      </c>
      <c r="L45" s="38" t="str">
        <f t="shared" si="18"/>
        <v/>
      </c>
      <c r="M45" s="38" t="str">
        <f t="shared" si="18"/>
        <v/>
      </c>
      <c r="N45" s="38" t="str">
        <f t="shared" si="18"/>
        <v/>
      </c>
      <c r="O45" s="38" t="str">
        <f t="shared" si="18"/>
        <v/>
      </c>
      <c r="P45" s="38" t="str">
        <f t="shared" si="18"/>
        <v/>
      </c>
      <c r="Q45" s="38" t="str">
        <f t="shared" si="18"/>
        <v/>
      </c>
      <c r="R45" s="38" t="str">
        <f t="shared" si="18"/>
        <v/>
      </c>
      <c r="S45" s="38" t="str">
        <f>IF(R45="","",IF(AND(COUNTIF(Q15:Q41,"後期")&gt;=1,COUNTIF(Q15:Q41,"国保")=1,Q13&gt;=$AC$5,Q13&lt;$AC$6),"特定",IF(AND(COUNTIF(Q15:Q41,"後期")&gt;=1,COUNTIF(Q15:Q41,"国保")=1,Q13&gt;=$AC$6,Q13&lt;$AC$7),"特継","")))</f>
        <v/>
      </c>
      <c r="T45" s="38"/>
      <c r="U45" s="274"/>
      <c r="V45" s="275"/>
      <c r="W45" s="66"/>
      <c r="AI45" s="1"/>
      <c r="AJ45" s="16"/>
      <c r="AK45" s="16"/>
      <c r="AL45" s="16"/>
      <c r="AM45" s="16"/>
      <c r="AN45" s="16"/>
      <c r="AO45" s="15"/>
      <c r="AP45" s="16"/>
      <c r="AQ45" s="16"/>
      <c r="AR45" s="16"/>
      <c r="AS45" s="16"/>
      <c r="AT45" s="16"/>
      <c r="AU45" s="16"/>
      <c r="AV45" s="16"/>
      <c r="AW45" s="17"/>
      <c r="AX45" s="5"/>
      <c r="AY45" s="8"/>
      <c r="AZ45" s="8"/>
      <c r="BA45" s="5"/>
      <c r="BB45" s="8"/>
      <c r="BC45" s="8"/>
      <c r="BD45" s="8"/>
      <c r="BE45" s="5"/>
      <c r="BF45" s="5"/>
    </row>
    <row r="46" spans="1:58" ht="18.75" customHeight="1" x14ac:dyDescent="0.45">
      <c r="B46" s="42"/>
      <c r="C46" s="43"/>
      <c r="D46" s="43"/>
      <c r="E46" s="44"/>
      <c r="F46" s="39"/>
      <c r="G46" s="40"/>
      <c r="H46" s="40"/>
      <c r="I46" s="40"/>
      <c r="J46" s="40"/>
      <c r="K46" s="40"/>
      <c r="L46" s="40"/>
      <c r="M46" s="40"/>
      <c r="N46" s="40"/>
      <c r="O46" s="40"/>
      <c r="P46" s="40"/>
      <c r="Q46" s="40"/>
      <c r="R46" s="40"/>
      <c r="S46" s="41"/>
      <c r="T46" s="41"/>
      <c r="U46" s="39"/>
      <c r="V46" s="39"/>
      <c r="AI46" s="1"/>
      <c r="AJ46" s="16"/>
      <c r="AK46" s="16"/>
      <c r="AL46" s="16"/>
      <c r="AM46" s="16"/>
      <c r="AN46" s="16"/>
      <c r="AO46" s="15"/>
      <c r="AP46" s="16"/>
      <c r="AQ46" s="16"/>
      <c r="AR46" s="16"/>
      <c r="AS46" s="16"/>
      <c r="AT46" s="16"/>
      <c r="AU46" s="16"/>
      <c r="AV46" s="16"/>
      <c r="AW46" s="17"/>
      <c r="AX46" s="5"/>
      <c r="AY46" s="8"/>
      <c r="AZ46" s="8"/>
      <c r="BA46" s="5"/>
      <c r="BB46" s="8"/>
      <c r="BC46" s="8"/>
      <c r="BD46" s="8"/>
      <c r="BE46" s="5"/>
      <c r="BF46" s="5"/>
    </row>
    <row r="47" spans="1:58" ht="22.8" thickBot="1" x14ac:dyDescent="0.5">
      <c r="B47" s="11" t="s">
        <v>75</v>
      </c>
      <c r="M47" s="7"/>
      <c r="N47" s="7"/>
      <c r="O47" s="7"/>
      <c r="P47" s="7"/>
      <c r="Q47" s="7"/>
      <c r="Y47" s="18"/>
      <c r="Z47" s="18"/>
      <c r="AA47" s="18"/>
      <c r="AB47" s="18"/>
      <c r="AC47" s="18"/>
      <c r="AD47" s="18"/>
      <c r="AE47" s="18"/>
      <c r="AF47" s="18"/>
      <c r="AG47" s="18"/>
      <c r="AH47" s="18"/>
      <c r="AI47" s="25"/>
      <c r="AJ47" s="18"/>
    </row>
    <row r="48" spans="1:58" ht="38.25" customHeight="1" thickTop="1" thickBot="1" x14ac:dyDescent="0.5">
      <c r="B48" s="51"/>
      <c r="C48" s="255" t="s">
        <v>56</v>
      </c>
      <c r="D48" s="256"/>
      <c r="E48" s="257" t="s">
        <v>96</v>
      </c>
      <c r="F48" s="258"/>
      <c r="G48" s="258"/>
      <c r="H48" s="247" t="s">
        <v>55</v>
      </c>
      <c r="I48" s="247"/>
      <c r="J48" s="247"/>
      <c r="K48" s="258" t="s">
        <v>40</v>
      </c>
      <c r="L48" s="258"/>
      <c r="M48" s="258"/>
      <c r="N48" s="247" t="s">
        <v>77</v>
      </c>
      <c r="O48" s="247"/>
      <c r="P48" s="247"/>
      <c r="Q48" s="247" t="s">
        <v>98</v>
      </c>
      <c r="R48" s="247"/>
      <c r="S48" s="247"/>
      <c r="T48" s="247" t="s">
        <v>78</v>
      </c>
      <c r="U48" s="247"/>
      <c r="V48" s="248"/>
      <c r="W48" s="37"/>
      <c r="X48" s="36" t="s">
        <v>41</v>
      </c>
      <c r="Y48" s="26" t="s">
        <v>8</v>
      </c>
      <c r="Z48" s="26" t="s">
        <v>10</v>
      </c>
      <c r="AA48" s="26" t="s">
        <v>11</v>
      </c>
      <c r="AB48" s="35" t="s">
        <v>43</v>
      </c>
      <c r="AC48" s="36" t="s">
        <v>44</v>
      </c>
      <c r="AD48" s="36" t="s">
        <v>91</v>
      </c>
      <c r="AE48" s="36" t="s">
        <v>92</v>
      </c>
      <c r="AF48" s="36" t="s">
        <v>95</v>
      </c>
      <c r="AG48" s="36" t="s">
        <v>90</v>
      </c>
      <c r="AH48" s="36" t="s">
        <v>54</v>
      </c>
      <c r="AI48" s="36" t="s">
        <v>94</v>
      </c>
      <c r="AJ48" s="36" t="s">
        <v>93</v>
      </c>
      <c r="AK48" s="26" t="s">
        <v>9</v>
      </c>
      <c r="AL48" s="26" t="s">
        <v>42</v>
      </c>
      <c r="AM48" s="26" t="s">
        <v>33</v>
      </c>
      <c r="AN48" s="26" t="s">
        <v>34</v>
      </c>
      <c r="AO48" s="26" t="s">
        <v>12</v>
      </c>
      <c r="AP48" s="26" t="s">
        <v>35</v>
      </c>
      <c r="AQ48" s="26" t="s">
        <v>36</v>
      </c>
      <c r="AR48" s="26" t="s">
        <v>37</v>
      </c>
      <c r="AS48" s="26" t="s">
        <v>38</v>
      </c>
      <c r="AT48" s="26" t="s">
        <v>39</v>
      </c>
    </row>
    <row r="49" spans="2:47" ht="31.5" customHeight="1" thickTop="1" x14ac:dyDescent="0.45">
      <c r="B49" s="52" t="s">
        <v>13</v>
      </c>
      <c r="C49" s="249" t="str">
        <f>C15</f>
        <v>中之条　一郎</v>
      </c>
      <c r="D49" s="250"/>
      <c r="E49" s="350">
        <v>5000000</v>
      </c>
      <c r="F49" s="351"/>
      <c r="G49" s="351"/>
      <c r="H49" s="352"/>
      <c r="I49" s="352"/>
      <c r="J49" s="352"/>
      <c r="K49" s="352">
        <v>0</v>
      </c>
      <c r="L49" s="352"/>
      <c r="M49" s="352"/>
      <c r="N49" s="351">
        <v>0</v>
      </c>
      <c r="O49" s="351"/>
      <c r="P49" s="351"/>
      <c r="Q49" s="352"/>
      <c r="R49" s="352"/>
      <c r="S49" s="352"/>
      <c r="T49" s="352"/>
      <c r="U49" s="352"/>
      <c r="V49" s="353"/>
      <c r="W49" s="32"/>
      <c r="X49" s="26">
        <f>IF(C15="","",DATEDIF(E15,$AA$5,"Y"))</f>
        <v>45</v>
      </c>
      <c r="Y49" s="28">
        <f>IF(E15="","",DATEDIF(E15,$AA$6,"Y"))</f>
        <v>45</v>
      </c>
      <c r="Z49" s="27" t="str">
        <f>IF(C15="","",IF(OR(AF49&gt;550000,AD49&gt;=1),"○",""))</f>
        <v>○</v>
      </c>
      <c r="AA49" s="29">
        <f>COUNTIF(G15:R15,"国保")</f>
        <v>12</v>
      </c>
      <c r="AB49" s="33">
        <f>IF(E49&lt;=550999,0,IF(AND(E49&gt;=551000,E49&lt;=1618999),E49-550000,IF(AND(E49&gt;=1619000,E49&lt;=1619999),1619000,IF(AND(E49&gt;=1620000,E49&lt;=1621999),1070000,IF(AND(E49&gt;=1622000,E49&lt;=1623999),1072000,IF(AND(E49&gt;=1624000,E49&lt;=1627999),1074000,IF(AND(E49&gt;=1628000,E49&lt;=1799999),ROUNDDOWN(E49/4,-3)*2.4+100000,IF(AND(E49&gt;=1800000,E49&lt;=3599999),ROUNDDOWN(E49/4,-3)*2.8-80000,IF(AND(E49&gt;=3600000,E49&lt;=6599999),ROUNDDOWN(E49/4,-3)*3.2-440000,IF(AND(E49&gt;=6600000,E49&lt;=8499999),ROUNDDOWN(E49*0.9-1100000,0),E49-1950000))))))))))</f>
        <v>3560000</v>
      </c>
      <c r="AC49" s="27">
        <f>IF(T15&gt;=1,AB49*3/10,AB49)</f>
        <v>3560000</v>
      </c>
      <c r="AD49" s="27">
        <f>IF(C15="","",ROUNDDOWN(IF(AND(X49&lt;65,K49&lt;=1299999),MAX(0,K49-600000),IF(AND(X49&lt;65,K49&gt;=1300000,K49&lt;=4099999),K49*0.75-275000,IF(AND(X49&lt;65,K49&gt;=4100000,K49&lt;=7699999),K49*0.85-685000,IF(AND(X49&lt;65,K49&gt;=7700000,K49&lt;=9999999),K49*0.95-1455000,IF(AND(X49&lt;65,K49&gt;=10000000),K49-1955000,IF(AND(X49&gt;=65,K49&lt;=3299999),MAX(0,K49-1100000),IF(AND(X49&gt;=65,K49&gt;=3300000,K49&lt;=4099999),K49*0.75-275000,IF(AND(X49&gt;=65,K49&gt;=4100000,K49&lt;=7699999),K49*0.85-685000,IF(AND(X49&gt;=65,K49&gt;=7700000,K49&lt;=9999999),K49*0.95-1455000,K49-1955000))))))))),0))</f>
        <v>0</v>
      </c>
      <c r="AE49" s="27">
        <f>IF(C15="","",IF((AC49+AD49)&gt;=100000,-(MIN(AB49,100000)+MIN(AD49,100000)-100000),0))</f>
        <v>0</v>
      </c>
      <c r="AF49" s="27">
        <f>E49-H49</f>
        <v>5000000</v>
      </c>
      <c r="AG49" s="27">
        <f>IF(AF49&lt;=550999,0,IF(AND(AF49&gt;=551000,AF49&lt;=1618999),AF49-550000,IF(AND(AF49&gt;=1619000,AF49&lt;=1619999),1619000,IF(AND(AF49&gt;=1620000,AF49&lt;=1621999),1070000,IF(AND(AF49&gt;=1622000,AF49&lt;=1623999),1072000,IF(AND(AF49&gt;=1624000,AF49&lt;=1627999),1074000,IF(AND(AF49&gt;=1628000,AF49&lt;=1799999),ROUNDDOWN(AF49/4,-3)*2.4+100000,IF(AND(AF49&gt;=1800000,AF49&lt;=3599999),ROUNDDOWN(AF49/4,-3)*2.8-80000,IF(AND(AF49&gt;=3600000,AF49&lt;=6599999),ROUNDDOWN(AF49/4,-3)*3.2-440000,IF(AND(AF49&gt;=6600000,AF49&lt;=8499999),ROUNDDOWN(AF49*0.9-1100000,0),AF49-1950000))))))))))</f>
        <v>3560000</v>
      </c>
      <c r="AH49" s="27">
        <f>IF(T15&gt;=1,AG49*3/10,AG49)</f>
        <v>3560000</v>
      </c>
      <c r="AI49" s="27">
        <f>IF(C15="","",AD49+AK49)</f>
        <v>0</v>
      </c>
      <c r="AJ49" s="27">
        <f>IF(C15="","",IF((AC49+AI49)&gt;=100000,-(MIN(AB49,100000)+MIN(AI49,100000)-100000),0))</f>
        <v>0</v>
      </c>
      <c r="AK49" s="27">
        <f>IF(C15="","",IF(AND(X49&gt;=65,AD49&gt;=150000),-150000,IF(AND(X49&gt;=65,AD49&lt;150000),-AD49,0)))</f>
        <v>0</v>
      </c>
      <c r="AL49" s="27">
        <f>IF(C15="","",N49+Q49+T49+AH49+AI49+AJ49+AK49)</f>
        <v>3560000</v>
      </c>
      <c r="AM49" s="30">
        <f>IF(C15="","",DATE(YEAR(E15)+40,MONTH(E15),DAY(E15)-1))</f>
        <v>42705</v>
      </c>
      <c r="AN49" s="30">
        <f>IF(C15="","",DATE(YEAR(E15)+65,MONTH(E15),DAY(E15)-1))</f>
        <v>51836</v>
      </c>
      <c r="AO49" s="29">
        <f>COUNTIF(G16:R16,"○")</f>
        <v>12</v>
      </c>
      <c r="AP49" s="30">
        <f>IF(C15="","",DATE(YEAR(E15)+75,MONTH(E15),DAY(E15)-1))</f>
        <v>55488</v>
      </c>
      <c r="AQ49" s="30">
        <f>IF(C15="","",DATE(YEAR(E15)+80,MONTH(E15),DAY(E15)-1))</f>
        <v>57315</v>
      </c>
      <c r="AR49" s="30">
        <f>IF(C15="","",DATE(YEAR(E15)+83,MONTH(E15),DAY(E15)-1))</f>
        <v>58410</v>
      </c>
      <c r="AS49" s="246">
        <f>COUNTIF(G45:U45,"特定")</f>
        <v>0</v>
      </c>
      <c r="AT49" s="246">
        <f>COUNTIF(G45:U45,"特継")</f>
        <v>0</v>
      </c>
    </row>
    <row r="50" spans="2:47" ht="31.5" customHeight="1" x14ac:dyDescent="0.45">
      <c r="B50" s="53" t="s">
        <v>14</v>
      </c>
      <c r="C50" s="242" t="str">
        <f>C18</f>
        <v>中之条　花子</v>
      </c>
      <c r="D50" s="243"/>
      <c r="E50" s="354">
        <v>1500000</v>
      </c>
      <c r="F50" s="355"/>
      <c r="G50" s="355"/>
      <c r="H50" s="356"/>
      <c r="I50" s="356"/>
      <c r="J50" s="356"/>
      <c r="K50" s="356"/>
      <c r="L50" s="356"/>
      <c r="M50" s="356"/>
      <c r="N50" s="356"/>
      <c r="O50" s="356"/>
      <c r="P50" s="356"/>
      <c r="Q50" s="356"/>
      <c r="R50" s="356"/>
      <c r="S50" s="356"/>
      <c r="T50" s="356"/>
      <c r="U50" s="356"/>
      <c r="V50" s="357"/>
      <c r="W50" s="32"/>
      <c r="X50" s="26">
        <f>IF(C18="","",DATEDIF(E18,$AA$5,"Y"))</f>
        <v>37</v>
      </c>
      <c r="Y50" s="28">
        <f>IF(E18="","",DATEDIF(E18,$AA$6,"Y"))</f>
        <v>37</v>
      </c>
      <c r="Z50" s="27" t="str">
        <f>IF(C18="","",IF(AND(OR(AF50&gt;550000,AD50&gt;=1),S20&gt;=1),"○",""))</f>
        <v>○</v>
      </c>
      <c r="AA50" s="29">
        <f>COUNTIF(G18:R18,"国保")</f>
        <v>12</v>
      </c>
      <c r="AB50" s="33">
        <f t="shared" ref="AB50:AB57" si="19">IF(E50&lt;=550999,0,IF(AND(E50&gt;=551000,E50&lt;=1618999),E50-550000,IF(AND(E50&gt;=1619000,E50&lt;=1619999),1619000,IF(AND(E50&gt;=1620000,E50&lt;=1621999),1070000,IF(AND(E50&gt;=1622000,E50&lt;=1623999),1072000,IF(AND(E50&gt;=1624000,E50&lt;=1627999),1074000,IF(AND(E50&gt;=1628000,E50&lt;=1799999),ROUNDDOWN(E50/4,-3)*2.4+100000,IF(AND(E50&gt;=1800000,E50&lt;=3599999),ROUNDDOWN(E50/4,-3)*2.8-80000,IF(AND(E50&gt;=3600000,E50&lt;=6599999),ROUNDDOWN(E50/4,-3)*3.2-440000,IF(AND(E50&gt;=6600000,E50&lt;=8499999),ROUNDDOWN(E50*0.9-1100000,0),E50-1950000))))))))))</f>
        <v>950000</v>
      </c>
      <c r="AC50" s="27">
        <f>IF(T18&gt;=1,AB50*3/10,AB50)</f>
        <v>950000</v>
      </c>
      <c r="AD50" s="27">
        <f>IF(C18="","",ROUNDDOWN(IF(AND(X50&lt;65,K50&lt;=1299999),MAX(0,K50-600000),IF(AND(X50&lt;65,K50&gt;=1300000,K50&lt;=4099999),K50*0.75-275000,IF(AND(X50&lt;65,K50&gt;=4100000,K50&lt;=7699999),K50*0.85-685000,IF(AND(X50&lt;65,K50&gt;=7700000,K50&lt;=9999999),K50*0.95-1455000,IF(AND(X50&lt;65,K50&gt;=10000000),K50-1955000,IF(AND(X50&gt;=65,K50&lt;=3299999),MAX(0,K50-1100000),IF(AND(X50&gt;=65,K50&gt;=3300000,K50&lt;=4099999),K50*0.75-275000,IF(AND(X50&gt;=65,K50&gt;=4100000,K50&lt;=7699999),K50*0.85-685000,IF(AND(X50&gt;=65,K50&gt;=7700000,K50&lt;=9999999),K50*0.95-1455000,K50-1955000))))))))),0))</f>
        <v>0</v>
      </c>
      <c r="AE50" s="27">
        <f>IF(C18="","",IF((AC50+AD50)&gt;=100000,-(MIN(AB50,100000)+MIN(AD50,100000)-100000),0))</f>
        <v>0</v>
      </c>
      <c r="AF50" s="27">
        <f t="shared" ref="AF50:AF57" si="20">E50-H50</f>
        <v>1500000</v>
      </c>
      <c r="AG50" s="27">
        <f t="shared" ref="AG50:AG57" si="21">IF(AF50&lt;=550999,0,IF(AND(AF50&gt;=551000,AF50&lt;=1618999),AF50-550000,IF(AND(AF50&gt;=1619000,AF50&lt;=1619999),1619000,IF(AND(AF50&gt;=1620000,AF50&lt;=1621999),1070000,IF(AND(AF50&gt;=1622000,AF50&lt;=1623999),1072000,IF(AND(AF50&gt;=1624000,AF50&lt;=1627999),1074000,IF(AND(AF50&gt;=1628000,AF50&lt;=1799999),ROUNDDOWN(AF50/4,-3)*2.4+100000,IF(AND(AF50&gt;=1800000,AF50&lt;=3599999),ROUNDDOWN(AF50/4,-3)*2.8-80000,IF(AND(AF50&gt;=3600000,AF50&lt;=6599999),ROUNDDOWN(AF50/4,-3)*3.2-440000,IF(AND(AF50&gt;=6600000,AF50&lt;=8499999),ROUNDDOWN(AF50*0.9-1100000,0),AF50-1950000))))))))))</f>
        <v>950000</v>
      </c>
      <c r="AH50" s="27">
        <f>IF(T18&gt;=1,AG50*3/10,AG50)</f>
        <v>950000</v>
      </c>
      <c r="AI50" s="27">
        <f>IF(C18="","",AD50+AK50)</f>
        <v>0</v>
      </c>
      <c r="AJ50" s="27">
        <f>IF(C18="","",IF((AC50+AI50)&gt;=100000,-(MIN(AB50,100000)+MIN(AI50,100000)-100000),0))</f>
        <v>0</v>
      </c>
      <c r="AK50" s="27">
        <f>IF(C18="","",IF(AND(X50&gt;=65,AD50&gt;=150000),-150000,IF(AND(X50&gt;=65,AD50&lt;150000),-AD50,0)))</f>
        <v>0</v>
      </c>
      <c r="AL50" s="27">
        <f>IF(C18="","",N50+Q50+T50+AH50+AI50+AJ50+AK50)</f>
        <v>950000</v>
      </c>
      <c r="AM50" s="30">
        <f>IF(C18="","",DATE(YEAR(E18)+40,MONTH(E18),DAY(E18)-1))</f>
        <v>45548</v>
      </c>
      <c r="AN50" s="30">
        <f>IF(C18="","",DATE(YEAR(E18)+65,MONTH(E18),DAY(E18)))</f>
        <v>54680</v>
      </c>
      <c r="AO50" s="29">
        <f>COUNTIF(G19:R19,"○")</f>
        <v>0</v>
      </c>
      <c r="AP50" s="30">
        <f>IF(C18="","",DATE(YEAR(E18)+75,MONTH(E18),DAY(E18)-1))</f>
        <v>58331</v>
      </c>
      <c r="AQ50" s="30">
        <f>IF(C18="","",DATE(YEAR(E18)+80,MONTH(E18),DAY(E18)-1))</f>
        <v>60158</v>
      </c>
      <c r="AR50" s="30">
        <f>IF(C18="","",DATE(YEAR(E18)+83,MONTH(E18),DAY(E18)-1))</f>
        <v>61253</v>
      </c>
      <c r="AS50" s="246"/>
      <c r="AT50" s="246"/>
    </row>
    <row r="51" spans="2:47" ht="31.5" customHeight="1" x14ac:dyDescent="0.45">
      <c r="B51" s="53" t="s">
        <v>15</v>
      </c>
      <c r="C51" s="242" t="str">
        <f>C21</f>
        <v>中之条　松子</v>
      </c>
      <c r="D51" s="243"/>
      <c r="E51" s="354">
        <v>0</v>
      </c>
      <c r="F51" s="355"/>
      <c r="G51" s="355"/>
      <c r="H51" s="356"/>
      <c r="I51" s="356"/>
      <c r="J51" s="356"/>
      <c r="K51" s="356">
        <v>1500000</v>
      </c>
      <c r="L51" s="356"/>
      <c r="M51" s="356"/>
      <c r="N51" s="356"/>
      <c r="O51" s="356"/>
      <c r="P51" s="356"/>
      <c r="Q51" s="356"/>
      <c r="R51" s="356"/>
      <c r="S51" s="356"/>
      <c r="T51" s="356"/>
      <c r="U51" s="356"/>
      <c r="V51" s="357"/>
      <c r="W51" s="32"/>
      <c r="X51" s="26">
        <f>IF(C21="","",DATEDIF(E21,$AA$5,"Y"))</f>
        <v>80</v>
      </c>
      <c r="Y51" s="28">
        <f>IF(E21="","",DATEDIF(E21,$AA$6,"Y"))</f>
        <v>80</v>
      </c>
      <c r="Z51" s="27" t="str">
        <f>IF(C21="","",IF(AND(OR(AF51&gt;550000,AD51&gt;=1),S23&gt;=1),"○",""))</f>
        <v/>
      </c>
      <c r="AA51" s="29">
        <f>COUNTIF(G21:R21,"国保")</f>
        <v>0</v>
      </c>
      <c r="AB51" s="33">
        <f t="shared" si="19"/>
        <v>0</v>
      </c>
      <c r="AC51" s="27">
        <f>IF(T21&gt;=1,AB51*3/10,AB51)</f>
        <v>0</v>
      </c>
      <c r="AD51" s="27">
        <f>IF(C21="","",ROUNDDOWN(IF(AND(X51&lt;65,K51&lt;=1299999),MAX(0,K51-600000),IF(AND(X51&lt;65,K51&gt;=1300000,K51&lt;=4099999),K51*0.75-275000,IF(AND(X51&lt;65,K51&gt;=4100000,K51&lt;=7699999),K51*0.85-685000,IF(AND(X51&lt;65,K51&gt;=7700000,K51&lt;=9999999),K51*0.95-1455000,IF(AND(X51&lt;65,K51&gt;=10000000),K51-1955000,IF(AND(X51&gt;=65,K51&lt;=3299999),MAX(0,K51-1100000),IF(AND(X51&gt;=65,K51&gt;=3300000,K51&lt;=4099999),K51*0.75-275000,IF(AND(X51&gt;=65,K51&gt;=4100000,K51&lt;=7699999),K51*0.85-685000,IF(AND(X51&gt;=65,K51&gt;=7700000,K51&lt;=9999999),K51*0.95-1455000,K51-1955000))))))))),0))</f>
        <v>400000</v>
      </c>
      <c r="AE51" s="27">
        <f>IF(OR(C21="",S22="○"),"",IF((AC51+AD51)&gt;=100000,-(MIN(AB51,100000)+MIN(AD51,100000)-100000),0))</f>
        <v>0</v>
      </c>
      <c r="AF51" s="27">
        <f t="shared" si="20"/>
        <v>0</v>
      </c>
      <c r="AG51" s="27">
        <f t="shared" si="21"/>
        <v>0</v>
      </c>
      <c r="AH51" s="27">
        <f>IF(T21&gt;=1,AG51*3/10,AG51)</f>
        <v>0</v>
      </c>
      <c r="AI51" s="27">
        <f>IF(C21="","",AD51+AK51)</f>
        <v>250000</v>
      </c>
      <c r="AJ51" s="27">
        <f>IF(C21="","",IF((AC51+AI51)&gt;=100000,-(MIN(AB51,100000)+MIN(AI51,100000)-100000),0))</f>
        <v>0</v>
      </c>
      <c r="AK51" s="27">
        <f>IF(C21="","",IF(AND(X51&gt;=65,AD51&gt;=150000),-150000,IF(AND(X51&gt;=65,AD51&lt;150000),-AD51,0)))</f>
        <v>-150000</v>
      </c>
      <c r="AL51" s="27">
        <f>IF(C21="","",N51+Q51+T51+AH51+AI51+AJ51+AK51)</f>
        <v>100000</v>
      </c>
      <c r="AM51" s="30">
        <f>IF(C21="","",DATE(YEAR(E21)+40,MONTH(E21),DAY(E21)-1))</f>
        <v>29805</v>
      </c>
      <c r="AN51" s="30">
        <f>IF(C21="","",DATE(YEAR(E21)+65,MONTH(E21),DAY(E21)))</f>
        <v>38937</v>
      </c>
      <c r="AO51" s="29">
        <f>COUNTIF(G22:R22,"○")</f>
        <v>0</v>
      </c>
      <c r="AP51" s="30">
        <f>IF(C21="","",DATE(YEAR(E21)+75,MONTH(E21),DAY(E21)-1))</f>
        <v>42589</v>
      </c>
      <c r="AQ51" s="30">
        <f>IF(C21="","",DATE(YEAR(E21)+80,MONTH(E21),DAY(E21)-1))</f>
        <v>44415</v>
      </c>
      <c r="AR51" s="30">
        <f>IF(C21="","",DATE(YEAR(E21)+83,MONTH(E21),DAY(E21)-1))</f>
        <v>45511</v>
      </c>
      <c r="AS51" s="246"/>
      <c r="AT51" s="246"/>
    </row>
    <row r="52" spans="2:47" ht="31.5" customHeight="1" x14ac:dyDescent="0.45">
      <c r="B52" s="53" t="s">
        <v>16</v>
      </c>
      <c r="C52" s="242" t="str">
        <f>C24</f>
        <v>中之条　太郎</v>
      </c>
      <c r="D52" s="243"/>
      <c r="E52" s="354"/>
      <c r="F52" s="355"/>
      <c r="G52" s="355"/>
      <c r="H52" s="356"/>
      <c r="I52" s="356"/>
      <c r="J52" s="356"/>
      <c r="K52" s="356"/>
      <c r="L52" s="356"/>
      <c r="M52" s="356"/>
      <c r="N52" s="356"/>
      <c r="O52" s="356"/>
      <c r="P52" s="356"/>
      <c r="Q52" s="356"/>
      <c r="R52" s="356"/>
      <c r="S52" s="356"/>
      <c r="T52" s="356"/>
      <c r="U52" s="356"/>
      <c r="V52" s="357"/>
      <c r="W52" s="32"/>
      <c r="X52" s="26">
        <f>IF(C24="","",DATEDIF(E24,$AA$5,"Y"))</f>
        <v>5</v>
      </c>
      <c r="Y52" s="28">
        <f>IF(E24="","",DATEDIF(E24,$AA$6,"Y"))</f>
        <v>5</v>
      </c>
      <c r="Z52" s="27" t="str">
        <f>IF(C24="","",IF(AND(OR(AF52&gt;550000,AD52&gt;=1),S26&gt;=1),"○",""))</f>
        <v/>
      </c>
      <c r="AA52" s="29">
        <f>COUNTIF(G24:R24,"国保")</f>
        <v>12</v>
      </c>
      <c r="AB52" s="33">
        <f t="shared" si="19"/>
        <v>0</v>
      </c>
      <c r="AC52" s="27">
        <f>IF(T24&gt;=1,AB52*3/10,AB52)</f>
        <v>0</v>
      </c>
      <c r="AD52" s="27">
        <f>IF(C24="","",ROUNDDOWN(IF(AND(X52&lt;65,K52&lt;=1299999),MAX(0,K52-600000),IF(AND(X52&lt;65,K52&gt;=1300000,K52&lt;=4099999),K52*0.75-275000,IF(AND(X52&lt;65,K52&gt;=4100000,K52&lt;=7699999),K52*0.85-685000,IF(AND(X52&lt;65,K52&gt;=7700000,K52&lt;=9999999),K52*0.95-1455000,IF(AND(X52&lt;65,K52&gt;=10000000),K52-1955000,IF(AND(X52&gt;=65,K52&lt;=3299999),MAX(0,K52-1100000),IF(AND(X52&gt;=65,K52&gt;=3300000,K52&lt;=4099999),K52*0.75-275000,IF(AND(X52&gt;=65,K52&gt;=4100000,K52&lt;=7699999),K52*0.85-685000,IF(AND(X52&gt;=65,K52&gt;=7700000,K52&lt;=9999999),K52*0.95-1455000,K52-1955000))))))))),0))</f>
        <v>0</v>
      </c>
      <c r="AE52" s="27">
        <f>IF(C24="","",IF((AC52+AD52)&gt;=100000,-(MIN(AB52,100000)+MIN(AD52,100000)-100000),0))</f>
        <v>0</v>
      </c>
      <c r="AF52" s="27">
        <f t="shared" si="20"/>
        <v>0</v>
      </c>
      <c r="AG52" s="27">
        <f t="shared" si="21"/>
        <v>0</v>
      </c>
      <c r="AH52" s="27">
        <f>IF(T24&gt;=1,AG52*3/10,AG52)</f>
        <v>0</v>
      </c>
      <c r="AI52" s="27">
        <f>IF(C24="","",AD52+AK52)</f>
        <v>0</v>
      </c>
      <c r="AJ52" s="27">
        <f>IF(C24="","",IF((AC52+AI52)&gt;=100000,-(MIN(AB52,100000)+MIN(AI52,100000)-100000),0))</f>
        <v>0</v>
      </c>
      <c r="AK52" s="27">
        <f>IF(C24="","",IF(AND(X52&gt;=65,AD52&gt;=150000),-150000,IF(AND(X52&gt;=65,AD52&lt;150000),-AD52,0)))</f>
        <v>0</v>
      </c>
      <c r="AL52" s="27">
        <f>IF(C24="","",N52+Q52+T52+AH52+AI52+AJ52+AK52)</f>
        <v>0</v>
      </c>
      <c r="AM52" s="30">
        <f>IF(C24="","",DATE(YEAR(E24)+40,MONTH(E24),DAY(E24)-1))</f>
        <v>57134</v>
      </c>
      <c r="AN52" s="30">
        <f>IF(C24="","",DATE(YEAR(E24)+65,MONTH(E24),DAY(E24)))</f>
        <v>66266</v>
      </c>
      <c r="AO52" s="29">
        <f>COUNTIF(G25:R25,"○")</f>
        <v>0</v>
      </c>
      <c r="AP52" s="30">
        <f>IF(C24="","",DATE(YEAR(E24)+75,MONTH(E24),DAY(E24)-1))</f>
        <v>69917</v>
      </c>
      <c r="AQ52" s="30">
        <f>IF(C24="","",DATE(YEAR(E24)+80,MONTH(E24),DAY(E24)-1))</f>
        <v>71743</v>
      </c>
      <c r="AR52" s="30">
        <f>IF(C24="","",DATE(YEAR(E24)+83,MONTH(E24),DAY(E24)-1))</f>
        <v>72838</v>
      </c>
      <c r="AS52" s="246"/>
      <c r="AT52" s="246"/>
    </row>
    <row r="53" spans="2:47" ht="31.5" customHeight="1" x14ac:dyDescent="0.45">
      <c r="B53" s="53" t="s">
        <v>17</v>
      </c>
      <c r="C53" s="242">
        <f>C27</f>
        <v>0</v>
      </c>
      <c r="D53" s="243"/>
      <c r="E53" s="354"/>
      <c r="F53" s="355"/>
      <c r="G53" s="355"/>
      <c r="H53" s="356"/>
      <c r="I53" s="356"/>
      <c r="J53" s="356"/>
      <c r="K53" s="356"/>
      <c r="L53" s="356"/>
      <c r="M53" s="356"/>
      <c r="N53" s="356"/>
      <c r="O53" s="356"/>
      <c r="P53" s="356"/>
      <c r="Q53" s="356"/>
      <c r="R53" s="356"/>
      <c r="S53" s="356"/>
      <c r="T53" s="356"/>
      <c r="U53" s="356"/>
      <c r="V53" s="357"/>
      <c r="W53" s="32"/>
      <c r="X53" s="26" t="str">
        <f>IF(C27="","",DATEDIF(E27,$AA$5,"Y"))</f>
        <v/>
      </c>
      <c r="Y53" s="28" t="str">
        <f>IF(E27="","",DATEDIF(E27,$AA$6,"Y"))</f>
        <v/>
      </c>
      <c r="Z53" s="27" t="str">
        <f>IF(C27="","",IF(AND(OR(AF53&gt;550000,AD53&gt;=1),S29&gt;=1),"○",""))</f>
        <v/>
      </c>
      <c r="AA53" s="29">
        <f>COUNTIF(G27:R27,"国保")</f>
        <v>0</v>
      </c>
      <c r="AB53" s="33">
        <f t="shared" si="19"/>
        <v>0</v>
      </c>
      <c r="AC53" s="27">
        <f>IF(T27&gt;=1,AB53*3/10,AB53)</f>
        <v>0</v>
      </c>
      <c r="AD53" s="27" t="str">
        <f>IF(C27="","",ROUNDDOWN(IF(AND(X53&lt;65,K53&lt;=1299999),MAX(0,K53-600000),IF(AND(X53&lt;65,K53&gt;=1300000,K53&lt;=4099999),K53*0.75-275000,IF(AND(X53&lt;65,K53&gt;=4100000,K53&lt;=7699999),K53*0.85-685000,IF(AND(X53&lt;65,K53&gt;=7700000,K53&lt;=9999999),K53*0.95-1455000,IF(AND(X53&lt;65,K53&gt;=10000000),K53-1955000,IF(AND(X53&gt;=65,K53&lt;=3299999),MAX(0,K53-1100000),IF(AND(X53&gt;=65,K53&gt;=3300000,K53&lt;=4099999),K53*0.75-275000,IF(AND(X53&gt;=65,K53&gt;=4100000,K53&lt;=7699999),K53*0.85-685000,IF(AND(X53&gt;=65,K53&gt;=7700000,K53&lt;=9999999),K53*0.95-1455000,K53-1955000))))))))),0))</f>
        <v/>
      </c>
      <c r="AE53" s="27" t="str">
        <f>IF(C27="","",IF((AC53+AD53)&gt;=100000,-(MIN(AB53,100000)+MIN(AD53,100000)-100000),0))</f>
        <v/>
      </c>
      <c r="AF53" s="27">
        <f t="shared" si="20"/>
        <v>0</v>
      </c>
      <c r="AG53" s="27">
        <f t="shared" si="21"/>
        <v>0</v>
      </c>
      <c r="AH53" s="27">
        <f>IF(T27&gt;=1,AG53*3/10,AG53)</f>
        <v>0</v>
      </c>
      <c r="AI53" s="27" t="str">
        <f>IF(C27="","",AD53+AK53)</f>
        <v/>
      </c>
      <c r="AJ53" s="27" t="str">
        <f>IF(C27="","",IF((AC53+AI53)&gt;=100000,-(MIN(AB53,100000)+MIN(AI53,100000)-100000),0))</f>
        <v/>
      </c>
      <c r="AK53" s="27" t="str">
        <f>IF(C27="","",IF(AND(X53&gt;=65,AD53&gt;=150000),-150000,IF(AND(X53&gt;=65,AD53&lt;150000),-AD53,0)))</f>
        <v/>
      </c>
      <c r="AL53" s="27" t="str">
        <f>IF(C27="","",N53+Q53+T53+AH53+AI53+AJ53+AK53)</f>
        <v/>
      </c>
      <c r="AM53" s="30" t="str">
        <f>IF(C27="","",DATE(YEAR(E27)+40,MONTH(E27),DAY(E27)-1))</f>
        <v/>
      </c>
      <c r="AN53" s="30" t="str">
        <f>IF(C27="","",DATE(YEAR(E27)+65,MONTH(E27),DAY(E27)))</f>
        <v/>
      </c>
      <c r="AO53" s="29">
        <f>COUNTIF(G28:R28,"○")</f>
        <v>0</v>
      </c>
      <c r="AP53" s="30" t="str">
        <f>IF(C27="","",DATE(YEAR(E27)+75,MONTH(E27),DAY(E27)-1))</f>
        <v/>
      </c>
      <c r="AQ53" s="30" t="str">
        <f>IF(C27="","",DATE(YEAR(E27)+80,MONTH(E27),DAY(E27)-1))</f>
        <v/>
      </c>
      <c r="AR53" s="30" t="str">
        <f>IF(C27="","",DATE(YEAR(E27)+83,MONTH(E27),DAY(E27)-1))</f>
        <v/>
      </c>
      <c r="AS53" s="246"/>
      <c r="AT53" s="246"/>
    </row>
    <row r="54" spans="2:47" ht="31.5" customHeight="1" x14ac:dyDescent="0.45">
      <c r="B54" s="53" t="s">
        <v>18</v>
      </c>
      <c r="C54" s="242">
        <f>C30</f>
        <v>0</v>
      </c>
      <c r="D54" s="243"/>
      <c r="E54" s="354"/>
      <c r="F54" s="355"/>
      <c r="G54" s="355"/>
      <c r="H54" s="356"/>
      <c r="I54" s="356"/>
      <c r="J54" s="356"/>
      <c r="K54" s="356"/>
      <c r="L54" s="356"/>
      <c r="M54" s="356"/>
      <c r="N54" s="356"/>
      <c r="O54" s="356"/>
      <c r="P54" s="356"/>
      <c r="Q54" s="356"/>
      <c r="R54" s="356"/>
      <c r="S54" s="356"/>
      <c r="T54" s="356"/>
      <c r="U54" s="356"/>
      <c r="V54" s="357"/>
      <c r="W54" s="32"/>
      <c r="X54" s="26" t="str">
        <f>IF(C30="","",DATEDIF(E30,$AA$5,"Y"))</f>
        <v/>
      </c>
      <c r="Y54" s="28" t="str">
        <f>IF(E30="","",DATEDIF(E30,$AA$6,"Y"))</f>
        <v/>
      </c>
      <c r="Z54" s="27" t="str">
        <f>IF(C30="","",IF(AND(OR(AF54&gt;550000,AD54&gt;=1),S32&gt;=1),"○",""))</f>
        <v/>
      </c>
      <c r="AA54" s="29">
        <f>COUNTIF(G30:R30,"国保")</f>
        <v>0</v>
      </c>
      <c r="AB54" s="33">
        <f t="shared" si="19"/>
        <v>0</v>
      </c>
      <c r="AC54" s="27">
        <f>IF(T30&gt;=1,AB54*3/10,AB54)</f>
        <v>0</v>
      </c>
      <c r="AD54" s="27" t="str">
        <f>IF(C30="","",ROUNDDOWN(IF(AND(X54&lt;65,K54&lt;=1299999),MAX(0,K54-600000),IF(AND(X54&lt;65,K54&gt;=1300000,K54&lt;=4099999),K54*0.75-275000,IF(AND(X54&lt;65,K54&gt;=4100000,K54&lt;=7699999),K54*0.85-685000,IF(AND(X54&lt;65,K54&gt;=7700000,K54&lt;=9999999),K54*0.95-1455000,IF(AND(X54&lt;65,K54&gt;=10000000),K54-1955000,IF(AND(X54&gt;=65,K54&lt;=3299999),MAX(0,K54-1100000),IF(AND(X54&gt;=65,K54&gt;=3300000,K54&lt;=4099999),K54*0.75-275000,IF(AND(X54&gt;=65,K54&gt;=4100000,K54&lt;=7699999),K54*0.85-685000,IF(AND(X54&gt;=65,K54&gt;=7700000,K54&lt;=9999999),K54*0.95-1455000,K54-1955000))))))))),0))</f>
        <v/>
      </c>
      <c r="AE54" s="27" t="str">
        <f>IF(C30="","",IF((AC54+AD54)&gt;=100000,-(MIN(AB54,100000)+MIN(AD54,100000)-100000),0))</f>
        <v/>
      </c>
      <c r="AF54" s="27">
        <f t="shared" si="20"/>
        <v>0</v>
      </c>
      <c r="AG54" s="27">
        <f t="shared" si="21"/>
        <v>0</v>
      </c>
      <c r="AH54" s="27">
        <f>IF(T30&gt;=1,AG54*3/10,AG54)</f>
        <v>0</v>
      </c>
      <c r="AI54" s="27" t="str">
        <f>IF(C30="","",AD54+AK54)</f>
        <v/>
      </c>
      <c r="AJ54" s="27" t="str">
        <f>IF(C30="","",IF((AC54+AI54)&gt;=100000,-(MIN(AB54,100000)+MIN(AI54,100000)-100000),0))</f>
        <v/>
      </c>
      <c r="AK54" s="27" t="str">
        <f>IF(C30="","",IF(AND(X54&gt;=65,AD54&gt;=150000),-150000,IF(AND(X54&gt;=65,AD54&lt;150000),-AD54,0)))</f>
        <v/>
      </c>
      <c r="AL54" s="27" t="str">
        <f>IF(C30="","",N54+Q54+T54+AH54+AI54+AJ54+AK54)</f>
        <v/>
      </c>
      <c r="AM54" s="30" t="str">
        <f>IF(C30="","",DATE(YEAR(E30)+40,MONTH(E30),DAY(E30)-1))</f>
        <v/>
      </c>
      <c r="AN54" s="30" t="str">
        <f>IF(C30="","",DATE(YEAR(E30)+65,MONTH(E30),DAY(E30)))</f>
        <v/>
      </c>
      <c r="AO54" s="29">
        <f>COUNTIF(G31:R31,"○")</f>
        <v>0</v>
      </c>
      <c r="AP54" s="30" t="str">
        <f>IF(C30="","",DATE(YEAR(E30)+75,MONTH(E30),DAY(E30)-1))</f>
        <v/>
      </c>
      <c r="AQ54" s="30" t="str">
        <f>IF(C30="","",DATE(YEAR(E30)+80,MONTH(E30),DAY(E30)-1))</f>
        <v/>
      </c>
      <c r="AR54" s="30" t="str">
        <f>IF(C30="","",DATE(YEAR(E30)+83,MONTH(E30),DAY(E30)-1))</f>
        <v/>
      </c>
      <c r="AS54" s="246"/>
      <c r="AT54" s="246"/>
    </row>
    <row r="55" spans="2:47" ht="31.5" customHeight="1" x14ac:dyDescent="0.45">
      <c r="B55" s="53" t="s">
        <v>19</v>
      </c>
      <c r="C55" s="242">
        <f>C33</f>
        <v>0</v>
      </c>
      <c r="D55" s="243"/>
      <c r="E55" s="354"/>
      <c r="F55" s="355"/>
      <c r="G55" s="355"/>
      <c r="H55" s="356"/>
      <c r="I55" s="356"/>
      <c r="J55" s="356"/>
      <c r="K55" s="356"/>
      <c r="L55" s="356"/>
      <c r="M55" s="356"/>
      <c r="N55" s="356"/>
      <c r="O55" s="356"/>
      <c r="P55" s="356"/>
      <c r="Q55" s="356"/>
      <c r="R55" s="356"/>
      <c r="S55" s="356"/>
      <c r="T55" s="356"/>
      <c r="U55" s="356"/>
      <c r="V55" s="357"/>
      <c r="W55" s="32"/>
      <c r="X55" s="26" t="str">
        <f>IF(C33="","",DATEDIF(E33,$AA$5,"Y"))</f>
        <v/>
      </c>
      <c r="Y55" s="28" t="str">
        <f>IF(E33="","",DATEDIF(E33,$AA$6,"Y"))</f>
        <v/>
      </c>
      <c r="Z55" s="27" t="str">
        <f>IF(C33="","",IF(AND(OR(AF55&gt;550000,AD55&gt;=1),S35&gt;=1),"○",""))</f>
        <v/>
      </c>
      <c r="AA55" s="29">
        <f>COUNTIF(G33:R33,"国保")</f>
        <v>0</v>
      </c>
      <c r="AB55" s="33">
        <f t="shared" si="19"/>
        <v>0</v>
      </c>
      <c r="AC55" s="27">
        <f>IF(T33&gt;=1,AB55*3/10,AB55)</f>
        <v>0</v>
      </c>
      <c r="AD55" s="27" t="str">
        <f>IF(C33="","",ROUNDDOWN(IF(AND(X55&lt;65,K55&lt;=1299999),MAX(0,K55-600000),IF(AND(X55&lt;65,K55&gt;=1300000,K55&lt;=4099999),K55*0.75-275000,IF(AND(X55&lt;65,K55&gt;=4100000,K55&lt;=7699999),K55*0.85-685000,IF(AND(X55&lt;65,K55&gt;=7700000,K55&lt;=9999999),K55*0.95-1455000,IF(AND(X55&lt;65,K55&gt;=10000000),K55-1955000,IF(AND(X55&gt;=65,K55&lt;=3299999),MAX(0,K55-1100000),IF(AND(X55&gt;=65,K55&gt;=3300000,K55&lt;=4099999),K55*0.75-275000,IF(AND(X55&gt;=65,K55&gt;=4100000,K55&lt;=7699999),K55*0.85-685000,IF(AND(X55&gt;=65,K55&gt;=7700000,K55&lt;=9999999),K55*0.95-1455000,K55-1955000))))))))),0))</f>
        <v/>
      </c>
      <c r="AE55" s="27" t="str">
        <f>IF(C33="","",IF((AC55+AD55)&gt;=100000,-(MIN(AB55,100000)+MIN(AD55,100000)-100000),0))</f>
        <v/>
      </c>
      <c r="AF55" s="27">
        <f t="shared" si="20"/>
        <v>0</v>
      </c>
      <c r="AG55" s="27">
        <f t="shared" si="21"/>
        <v>0</v>
      </c>
      <c r="AH55" s="27">
        <f>IF(T33&gt;=1,AG55*3/10,AG55)</f>
        <v>0</v>
      </c>
      <c r="AI55" s="27" t="str">
        <f>IF(C33="","",AD55+AK55)</f>
        <v/>
      </c>
      <c r="AJ55" s="27" t="str">
        <f>IF(C33="","",IF((AC55+AI55)&gt;=100000,-(MIN(AB55,100000)+MIN(AI55,100000)-100000),0))</f>
        <v/>
      </c>
      <c r="AK55" s="27" t="str">
        <f>IF(C33="","",IF(AND(X55&gt;=65,AD55&gt;=150000),-150000,IF(AND(X55&gt;=65,AD55&lt;150000),-AD55,0)))</f>
        <v/>
      </c>
      <c r="AL55" s="27" t="str">
        <f>IF(C33="","",N55+Q55+T55+AH55+AI55+AJ55+AK55)</f>
        <v/>
      </c>
      <c r="AM55" s="30" t="str">
        <f>IF(C33="","",DATE(YEAR(E33)+40,MONTH(E33),DAY(E33)-1))</f>
        <v/>
      </c>
      <c r="AN55" s="30" t="str">
        <f>IF(C33="","",DATE(YEAR(E33)+65,MONTH(E33),DAY(E33)))</f>
        <v/>
      </c>
      <c r="AO55" s="29">
        <f>COUNTIF(G34:R34,"○")</f>
        <v>0</v>
      </c>
      <c r="AP55" s="30" t="str">
        <f>IF(C33="","",DATE(YEAR(E33)+75,MONTH(E33),DAY(E33)-1))</f>
        <v/>
      </c>
      <c r="AQ55" s="30" t="str">
        <f>IF(C33="","",DATE(YEAR(E33)+80,MONTH(E33),DAY(E33)-1))</f>
        <v/>
      </c>
      <c r="AR55" s="30" t="str">
        <f>IF(C33="","",DATE(YEAR(E33)+83,MONTH(E33),DAY(E33)-1))</f>
        <v/>
      </c>
      <c r="AS55" s="246"/>
      <c r="AT55" s="246"/>
    </row>
    <row r="56" spans="2:47" ht="31.5" customHeight="1" x14ac:dyDescent="0.45">
      <c r="B56" s="53" t="s">
        <v>20</v>
      </c>
      <c r="C56" s="242">
        <f>C36</f>
        <v>0</v>
      </c>
      <c r="D56" s="243"/>
      <c r="E56" s="354"/>
      <c r="F56" s="355"/>
      <c r="G56" s="355"/>
      <c r="H56" s="356"/>
      <c r="I56" s="356"/>
      <c r="J56" s="356"/>
      <c r="K56" s="356"/>
      <c r="L56" s="356"/>
      <c r="M56" s="356"/>
      <c r="N56" s="356"/>
      <c r="O56" s="356"/>
      <c r="P56" s="356"/>
      <c r="Q56" s="356"/>
      <c r="R56" s="356"/>
      <c r="S56" s="356"/>
      <c r="T56" s="356"/>
      <c r="U56" s="356"/>
      <c r="V56" s="357"/>
      <c r="W56" s="32"/>
      <c r="X56" s="26" t="str">
        <f>IF(C36="","",DATEDIF(E36,$AA$5,"Y"))</f>
        <v/>
      </c>
      <c r="Y56" s="28" t="str">
        <f>IF(E36="","",DATEDIF(E36,$AA$6,"Y"))</f>
        <v/>
      </c>
      <c r="Z56" s="27" t="str">
        <f>IF(C36="","",IF(AND(OR(AF56&gt;550000,AD56&gt;=1),S38&gt;=1),"○",""))</f>
        <v/>
      </c>
      <c r="AA56" s="29">
        <f>COUNTIF(G36:R36,"国保")</f>
        <v>0</v>
      </c>
      <c r="AB56" s="33">
        <f t="shared" si="19"/>
        <v>0</v>
      </c>
      <c r="AC56" s="27">
        <f>IF(T36&gt;=1,AB56*3/10,AB56)</f>
        <v>0</v>
      </c>
      <c r="AD56" s="27" t="str">
        <f>IF(C36="","",ROUNDDOWN(IF(AND(X56&lt;65,K56&lt;=1299999),MAX(0,K56-600000),IF(AND(X56&lt;65,K56&gt;=1300000,K56&lt;=4099999),K56*0.75-275000,IF(AND(X56&lt;65,K56&gt;=4100000,K56&lt;=7699999),K56*0.85-685000,IF(AND(X56&lt;65,K56&gt;=7700000,K56&lt;=9999999),K56*0.95-1455000,IF(AND(X56&lt;65,K56&gt;=10000000),K56-1955000,IF(AND(X56&gt;=65,K56&lt;=3299999),MAX(0,K56-1100000),IF(AND(X56&gt;=65,K56&gt;=3300000,K56&lt;=4099999),K56*0.75-275000,IF(AND(X56&gt;=65,K56&gt;=4100000,K56&lt;=7699999),K56*0.85-685000,IF(AND(X56&gt;=65,K56&gt;=7700000,K56&lt;=9999999),K56*0.95-1455000,K56-1955000))))))))),0))</f>
        <v/>
      </c>
      <c r="AE56" s="27" t="str">
        <f>IF(C36="","",IF((AC56+AD56)&gt;=100000,-(MIN(AB56,100000)+MIN(AD56,100000)-100000),0))</f>
        <v/>
      </c>
      <c r="AF56" s="27">
        <f t="shared" si="20"/>
        <v>0</v>
      </c>
      <c r="AG56" s="27">
        <f t="shared" si="21"/>
        <v>0</v>
      </c>
      <c r="AH56" s="27">
        <f>IF(T36&gt;=1,AG56*3/10,AG56)</f>
        <v>0</v>
      </c>
      <c r="AI56" s="27" t="str">
        <f>IF(C36="","",AD56+AK56)</f>
        <v/>
      </c>
      <c r="AJ56" s="27" t="str">
        <f>IF(C36="","",IF((AC56+AI56)&gt;=100000,-(MIN(AB56,100000)+MIN(AI56,100000)-100000),0))</f>
        <v/>
      </c>
      <c r="AK56" s="27" t="str">
        <f>IF(C36="","",IF(AND(X56&gt;=65,AD56&gt;=150000),-150000,IF(AND(X56&gt;=65,AD56&lt;150000),-AD56,0)))</f>
        <v/>
      </c>
      <c r="AL56" s="27" t="str">
        <f>IF(C36="","",N56+Q56+T56+AH56+AI56+AJ56+AK56)</f>
        <v/>
      </c>
      <c r="AM56" s="30" t="str">
        <f>IF(C36="","",DATE(YEAR(E36)+40,MONTH(E36),DAY(E36)-1))</f>
        <v/>
      </c>
      <c r="AN56" s="30" t="str">
        <f>IF(C36="","",DATE(YEAR(E36)+65,MONTH(E36),DAY(E36)))</f>
        <v/>
      </c>
      <c r="AO56" s="29">
        <f>COUNTIF(G37:R37,"○")</f>
        <v>0</v>
      </c>
      <c r="AP56" s="30" t="str">
        <f>IF(C36="","",DATE(YEAR(E36)+75,MONTH(E36),DAY(E36)-1))</f>
        <v/>
      </c>
      <c r="AQ56" s="30" t="str">
        <f>IF(C36="","",DATE(YEAR(E36)+80,MONTH(E36),DAY(E36)-1))</f>
        <v/>
      </c>
      <c r="AR56" s="30" t="str">
        <f>IF(C36="","",DATE(YEAR(E36)+83,MONTH(E36),DAY(E36)-1))</f>
        <v/>
      </c>
      <c r="AS56" s="246"/>
      <c r="AT56" s="246"/>
    </row>
    <row r="57" spans="2:47" ht="31.5" customHeight="1" thickBot="1" x14ac:dyDescent="0.5">
      <c r="B57" s="54" t="s">
        <v>21</v>
      </c>
      <c r="C57" s="236">
        <f>C39</f>
        <v>0</v>
      </c>
      <c r="D57" s="237"/>
      <c r="E57" s="358"/>
      <c r="F57" s="359"/>
      <c r="G57" s="359"/>
      <c r="H57" s="360"/>
      <c r="I57" s="360"/>
      <c r="J57" s="360"/>
      <c r="K57" s="360"/>
      <c r="L57" s="360"/>
      <c r="M57" s="360"/>
      <c r="N57" s="360"/>
      <c r="O57" s="360"/>
      <c r="P57" s="360"/>
      <c r="Q57" s="360"/>
      <c r="R57" s="360"/>
      <c r="S57" s="360"/>
      <c r="T57" s="360"/>
      <c r="U57" s="360"/>
      <c r="V57" s="361"/>
      <c r="W57" s="32"/>
      <c r="X57" s="26" t="str">
        <f>IF(C39="","",DATEDIF(E39,$AA$5,"Y"))</f>
        <v/>
      </c>
      <c r="Y57" s="28" t="str">
        <f>IF(E39="","",DATEDIF(E39,$AA$6,"Y"))</f>
        <v/>
      </c>
      <c r="Z57" s="27" t="str">
        <f>IF(C39="","",IF(AND(OR(AF57&gt;550000,AD57&gt;=1),T41&gt;=1),"○",""))</f>
        <v/>
      </c>
      <c r="AA57" s="29">
        <f>COUNTIF(G39:R39,"国保")</f>
        <v>0</v>
      </c>
      <c r="AB57" s="33">
        <f t="shared" si="19"/>
        <v>0</v>
      </c>
      <c r="AC57" s="27">
        <f>IF(T39&gt;=1,AB57*3/10,AB57)</f>
        <v>0</v>
      </c>
      <c r="AD57" s="27" t="str">
        <f>IF(C39="","",ROUNDDOWN(IF(AND(X57&lt;65,K57&lt;=1299999),MAX(0,K57-600000),IF(AND(X57&lt;65,K57&gt;=1300000,K57&lt;=4099999),K57*0.75-275000,IF(AND(X57&lt;65,K57&gt;=4100000,K57&lt;=7699999),K57*0.85-685000,IF(AND(X57&lt;65,K57&gt;=7700000,K57&lt;=9999999),K57*0.95-1455000,IF(AND(X57&lt;65,K57&gt;=10000000),K57-1955000,IF(AND(X57&gt;=65,K57&lt;=3299999),MAX(0,K57-1100000),IF(AND(X57&gt;=65,K57&gt;=3300000,K57&lt;=4099999),K57*0.75-275000,IF(AND(X57&gt;=65,K57&gt;=4100000,K57&lt;=7699999),K57*0.85-685000,IF(AND(X57&gt;=65,K57&gt;=7700000,K57&lt;=9999999),K57*0.95-1455000,K57-1955000))))))))),0))</f>
        <v/>
      </c>
      <c r="AE57" s="27" t="str">
        <f>IF(C39="","",IF((AC57+AD57)&gt;=100000,-(MIN(AB57,100000)+MIN(AD57,100000)-100000),0))</f>
        <v/>
      </c>
      <c r="AF57" s="27">
        <f t="shared" si="20"/>
        <v>0</v>
      </c>
      <c r="AG57" s="27">
        <f t="shared" si="21"/>
        <v>0</v>
      </c>
      <c r="AH57" s="27">
        <f>IF(T39&gt;=1,AG57*3/10,AG57)</f>
        <v>0</v>
      </c>
      <c r="AI57" s="27" t="str">
        <f>IF(C39="","",AD57+AK57)</f>
        <v/>
      </c>
      <c r="AJ57" s="27" t="str">
        <f>IF(C39="","",IF((AC57+AI57)&gt;=100000,-(MIN(AB57,100000)+MIN(AI57,100000)-100000),0))</f>
        <v/>
      </c>
      <c r="AK57" s="27" t="str">
        <f>IF(C39="","",IF(AND(X57&gt;=65,AD57&gt;=150000),-150000,IF(AND(X57&gt;=65,AD57&lt;150000),-AD57,0)))</f>
        <v/>
      </c>
      <c r="AL57" s="27" t="str">
        <f>IF(C39="","",N57+Q57+T57+AH57+AI57+AJ57+AK57)</f>
        <v/>
      </c>
      <c r="AM57" s="30" t="str">
        <f>IF(C39="","",DATE(YEAR(E39)+40,MONTH(E39),DAY(E39)-1))</f>
        <v/>
      </c>
      <c r="AN57" s="30" t="str">
        <f>IF(C39="","",DATE(YEAR(E39)+65,MONTH(E39),DAY(E39)))</f>
        <v/>
      </c>
      <c r="AO57" s="29">
        <f>COUNTIF(G40:R40,"○")</f>
        <v>0</v>
      </c>
      <c r="AP57" s="30" t="str">
        <f>IF(C39="","",DATE(YEAR(E39)+75,MONTH(E39),DAY(E39)-1))</f>
        <v/>
      </c>
      <c r="AQ57" s="30" t="str">
        <f>IF(C39="","",DATE(YEAR(E39)+80,MONTH(E39),DAY(E39)-1))</f>
        <v/>
      </c>
      <c r="AR57" s="30" t="str">
        <f>IF(C39="","",DATE(YEAR(E39)+83,MONTH(E39),DAY(E39)-1))</f>
        <v/>
      </c>
      <c r="AS57" s="246"/>
      <c r="AT57" s="246"/>
    </row>
    <row r="58" spans="2:47" ht="22.5" customHeight="1" thickBot="1" x14ac:dyDescent="0.5">
      <c r="B58" s="5"/>
      <c r="C58" s="45"/>
      <c r="D58" s="45"/>
      <c r="E58" s="16"/>
      <c r="F58" s="16"/>
      <c r="G58" s="16"/>
      <c r="H58" s="5"/>
      <c r="I58" s="5"/>
      <c r="J58" s="5"/>
      <c r="K58" s="5"/>
      <c r="L58" s="5"/>
      <c r="M58" s="5"/>
      <c r="N58" s="5"/>
      <c r="O58" s="5"/>
      <c r="P58" s="5"/>
      <c r="Q58" s="5"/>
      <c r="R58" s="5"/>
      <c r="U58" s="5"/>
      <c r="V58" s="5"/>
      <c r="W58" s="5"/>
      <c r="X58" s="5"/>
      <c r="Y58" s="16"/>
      <c r="Z58" s="16"/>
      <c r="AA58" s="16"/>
      <c r="AB58" s="16"/>
      <c r="AC58" s="16"/>
      <c r="AD58" s="15"/>
      <c r="AE58" s="16"/>
      <c r="AF58" s="16"/>
      <c r="AG58" s="16"/>
      <c r="AH58" s="16"/>
      <c r="AI58" s="16"/>
      <c r="AJ58" s="16"/>
      <c r="AK58" s="16"/>
      <c r="AL58" s="17"/>
      <c r="AM58" s="5"/>
      <c r="AN58" s="8"/>
      <c r="AO58" s="8"/>
      <c r="AP58" s="5"/>
      <c r="AQ58" s="8"/>
      <c r="AR58" s="8"/>
      <c r="AS58" s="8"/>
      <c r="AT58" s="5"/>
      <c r="AU58" s="5"/>
    </row>
    <row r="59" spans="2:47" ht="30.75" customHeight="1" thickBot="1" x14ac:dyDescent="0.5">
      <c r="B59" s="223" t="s">
        <v>85</v>
      </c>
      <c r="C59" s="224"/>
      <c r="D59" s="224"/>
      <c r="E59" s="224"/>
      <c r="F59" s="224"/>
      <c r="G59" s="224"/>
      <c r="H59" s="224"/>
      <c r="I59" s="224"/>
      <c r="J59" s="224"/>
      <c r="K59" s="224"/>
      <c r="L59" s="224"/>
      <c r="M59" s="224"/>
      <c r="N59" s="224"/>
      <c r="O59" s="224"/>
      <c r="P59" s="224"/>
      <c r="Q59" s="224"/>
      <c r="R59" s="224"/>
      <c r="S59" s="224"/>
      <c r="T59" s="224"/>
      <c r="U59" s="224"/>
      <c r="V59" s="224"/>
      <c r="W59" s="70"/>
      <c r="X59" s="4"/>
      <c r="Y59" s="4"/>
      <c r="Z59" s="4"/>
      <c r="AA59" s="4"/>
      <c r="AB59" s="4"/>
      <c r="AC59" s="4"/>
      <c r="AD59" s="4"/>
      <c r="AE59" s="4"/>
      <c r="AF59" s="4"/>
      <c r="AG59" s="4"/>
      <c r="AH59" s="4"/>
      <c r="AI59" s="4"/>
      <c r="AJ59" s="4"/>
      <c r="AK59" s="4"/>
    </row>
    <row r="60" spans="2:47" ht="22.8" thickBot="1" x14ac:dyDescent="0.5">
      <c r="B60" s="11" t="s">
        <v>22</v>
      </c>
    </row>
    <row r="61" spans="2:47" ht="22.2" x14ac:dyDescent="0.45">
      <c r="B61" s="225" t="s">
        <v>79</v>
      </c>
      <c r="C61" s="226"/>
      <c r="D61" s="227" t="s">
        <v>59</v>
      </c>
      <c r="E61" s="228"/>
      <c r="F61" s="228"/>
      <c r="G61" s="228"/>
      <c r="H61" s="228"/>
      <c r="I61" s="228"/>
      <c r="J61" s="228"/>
      <c r="K61" s="228"/>
      <c r="L61" s="229"/>
      <c r="M61" s="227" t="s">
        <v>58</v>
      </c>
      <c r="N61" s="228"/>
      <c r="O61" s="228"/>
      <c r="P61" s="228"/>
      <c r="Q61" s="228"/>
      <c r="R61" s="228"/>
      <c r="S61" s="228"/>
      <c r="T61" s="228"/>
      <c r="U61" s="228"/>
      <c r="V61" s="230"/>
      <c r="W61" s="11"/>
      <c r="X61" s="11"/>
    </row>
    <row r="62" spans="2:47" ht="33.75" customHeight="1" x14ac:dyDescent="0.45">
      <c r="B62" s="231" t="s">
        <v>104</v>
      </c>
      <c r="C62" s="232"/>
      <c r="D62" s="233" t="s">
        <v>5</v>
      </c>
      <c r="E62" s="233"/>
      <c r="F62" s="233"/>
      <c r="G62" s="233" t="s">
        <v>23</v>
      </c>
      <c r="H62" s="233"/>
      <c r="I62" s="233"/>
      <c r="J62" s="232" t="s">
        <v>80</v>
      </c>
      <c r="K62" s="232"/>
      <c r="L62" s="232"/>
      <c r="M62" s="148" t="s">
        <v>103</v>
      </c>
      <c r="N62" s="149"/>
      <c r="O62" s="148" t="s">
        <v>24</v>
      </c>
      <c r="P62" s="149"/>
      <c r="Q62" s="220" t="s">
        <v>25</v>
      </c>
      <c r="R62" s="233" t="s">
        <v>26</v>
      </c>
      <c r="S62" s="233"/>
      <c r="T62" s="104" t="s">
        <v>24</v>
      </c>
      <c r="U62" s="362"/>
      <c r="V62" s="363"/>
      <c r="W62" s="65"/>
      <c r="X62" s="65"/>
      <c r="AH62" s="5"/>
      <c r="AI62" s="1"/>
    </row>
    <row r="63" spans="2:47" ht="33.75" customHeight="1" x14ac:dyDescent="0.45">
      <c r="B63" s="374">
        <f>COUNTIF(V17:V41,"被保険者")</f>
        <v>3</v>
      </c>
      <c r="C63" s="375"/>
      <c r="D63" s="376">
        <f>IF(AND(AS49=0,AT49=0),ROUND(G7*(10-O63)/10*S43/12,0),ROUND(G7*(10-O63)/10*(S43-(AS49+AT49))/12,0)+IF(AS49=0,0,ROUND(G7*(10-O63)/10*AS49/12,0)*1/2))+IF(AT49=0,0,ROUND(G7*(10-O63)/10*AT49/12,0)*3/4)</f>
        <v>21200</v>
      </c>
      <c r="E63" s="376"/>
      <c r="F63" s="376"/>
      <c r="G63" s="376">
        <f>IF(AND(AS49=0,AT49=0),ROUND(G8*(10-O63)/10*S43/12,0),ROUND(G8*(10-O63)/10*(S43-(AS49+AT49))/12,0)+IF(AS49=0,0,ROUND(G8*(10-O63)/10*AS49/12,0)*1/2))+IF(AT49=0,0,ROUND(G8*(10-O63)/10*AT49/12,0)*3/4)</f>
        <v>8400</v>
      </c>
      <c r="H63" s="376"/>
      <c r="I63" s="376"/>
      <c r="J63" s="376">
        <f>IF(S44=0,0,ROUND(G9*(10-O63)/10,0)*S44/12)</f>
        <v>8000</v>
      </c>
      <c r="K63" s="376"/>
      <c r="L63" s="376"/>
      <c r="M63" s="366">
        <f>IF(S43=0,0,ROUND(G10*(10-O63)/10,0)*S43/12)</f>
        <v>800</v>
      </c>
      <c r="N63" s="379"/>
      <c r="O63" s="384">
        <f>IF(B63=0,0,IF(R63&lt;=U62,7,IF(R63&lt;=U63,5,IF(R63&lt;=U65,2,0))))</f>
        <v>0</v>
      </c>
      <c r="P63" s="385"/>
      <c r="Q63" s="221"/>
      <c r="R63" s="376">
        <f>SUM(AL49:AL57)</f>
        <v>4610000</v>
      </c>
      <c r="S63" s="376"/>
      <c r="T63" s="76" t="s">
        <v>27</v>
      </c>
      <c r="U63" s="362">
        <f>IF(B63=0,"",430000+IF(COUNTIF(Z49:Z57,"○")&gt;1,(COUNTIF(Z49:Z57,"○")-1)*100000,0))</f>
        <v>530000</v>
      </c>
      <c r="V63" s="363"/>
      <c r="AH63" s="5"/>
      <c r="AI63" s="1"/>
    </row>
    <row r="64" spans="2:47" ht="33.75" customHeight="1" x14ac:dyDescent="0.45">
      <c r="B64" s="364">
        <f>COUNTIF(V16,"&gt;=1")+COUNTIF(V19,"&gt;=1")+COUNTIF(V22,"&gt;=1")+COUNTIF(V25,"&gt;=1")+COUNTIF(V28,"&gt;=1")+COUNTIF(V31,"&gt;=1")+COUNTIF(V34,"&gt;=1")+COUNTIF(V37,"&gt;=1")+COUNTIF(S40,"&gt;=1")</f>
        <v>1</v>
      </c>
      <c r="C64" s="365"/>
      <c r="D64" s="377"/>
      <c r="E64" s="377"/>
      <c r="F64" s="377"/>
      <c r="G64" s="377"/>
      <c r="H64" s="377"/>
      <c r="I64" s="377"/>
      <c r="J64" s="377"/>
      <c r="K64" s="377"/>
      <c r="L64" s="377"/>
      <c r="M64" s="380"/>
      <c r="N64" s="381"/>
      <c r="O64" s="386"/>
      <c r="P64" s="387"/>
      <c r="Q64" s="221"/>
      <c r="R64" s="377"/>
      <c r="S64" s="377"/>
      <c r="T64" s="76" t="s">
        <v>28</v>
      </c>
      <c r="U64" s="366" cm="1">
        <f t="array" ref="U64">IF(B63=0,"",INDEX(F42:S42,MATCH(0,INDEX(0/F42:S42,),))*310000+IF(COUNTIF(Z49:Z57,"○")&gt;1,(COUNTIF(Z49:Z57,"○")-1)*100000,0)+430000)</f>
        <v>1770000</v>
      </c>
      <c r="V64" s="367"/>
      <c r="AH64" s="5"/>
      <c r="AI64" s="1"/>
    </row>
    <row r="65" spans="2:49" ht="33.75" customHeight="1" thickBot="1" x14ac:dyDescent="0.5">
      <c r="B65" s="368">
        <f>COUNTIF(Y49:Y57,"&gt;=18")</f>
        <v>3</v>
      </c>
      <c r="C65" s="369"/>
      <c r="D65" s="378"/>
      <c r="E65" s="378"/>
      <c r="F65" s="378"/>
      <c r="G65" s="378"/>
      <c r="H65" s="378"/>
      <c r="I65" s="378"/>
      <c r="J65" s="378"/>
      <c r="K65" s="378"/>
      <c r="L65" s="378"/>
      <c r="M65" s="382"/>
      <c r="N65" s="383"/>
      <c r="O65" s="370" t="str">
        <f>IF(COUNTIF(Y49:Y57,"&lt;=5")&gt;=1,"未就学児","")</f>
        <v>未就学児</v>
      </c>
      <c r="P65" s="371"/>
      <c r="Q65" s="222"/>
      <c r="R65" s="378"/>
      <c r="S65" s="378"/>
      <c r="T65" s="77" t="s">
        <v>29</v>
      </c>
      <c r="U65" s="372" cm="1">
        <f t="array" ref="U65">IF(B63=0,"",INDEX(F42:S42,MATCH(0,INDEX(0/F42:S42,),))*570000+IF(COUNTIF(Z49:Z57,"○")&gt;1,(COUNTIF(Z49:Z57,"○")-1)*100000,0)+430000)</f>
        <v>2810000</v>
      </c>
      <c r="V65" s="373"/>
      <c r="AU65" s="9"/>
      <c r="AV65" s="9"/>
      <c r="AW65" s="9"/>
    </row>
    <row r="66" spans="2:49" ht="33.75" customHeight="1" thickBot="1" x14ac:dyDescent="0.5">
      <c r="B66" s="62"/>
      <c r="C66" s="215" t="s">
        <v>56</v>
      </c>
      <c r="D66" s="216"/>
      <c r="E66" s="215" t="s">
        <v>30</v>
      </c>
      <c r="F66" s="217"/>
      <c r="G66" s="217"/>
      <c r="H66" s="217"/>
      <c r="I66" s="216"/>
      <c r="J66" s="218" t="s">
        <v>5</v>
      </c>
      <c r="K66" s="218"/>
      <c r="L66" s="218"/>
      <c r="M66" s="218" t="s">
        <v>6</v>
      </c>
      <c r="N66" s="218"/>
      <c r="O66" s="218"/>
      <c r="P66" s="218" t="s">
        <v>7</v>
      </c>
      <c r="Q66" s="218"/>
      <c r="R66" s="218"/>
      <c r="S66" s="215" t="s">
        <v>103</v>
      </c>
      <c r="T66" s="217"/>
      <c r="U66" s="215" t="s">
        <v>31</v>
      </c>
      <c r="V66" s="219"/>
      <c r="Y66" s="10"/>
    </row>
    <row r="67" spans="2:49" ht="31.5" customHeight="1" thickTop="1" x14ac:dyDescent="0.45">
      <c r="B67" s="61" t="s">
        <v>13</v>
      </c>
      <c r="C67" s="193" t="str">
        <f>C15</f>
        <v>中之条　一郎</v>
      </c>
      <c r="D67" s="194"/>
      <c r="E67" s="388">
        <f>IF(V17="被保険者",IF((N49+T49+AC49+AD49+AE49)&gt;=430000,(N49+T49+AC49+AD49+AE49)-430000,0),0)</f>
        <v>3130000</v>
      </c>
      <c r="F67" s="389"/>
      <c r="G67" s="389"/>
      <c r="H67" s="389"/>
      <c r="I67" s="390"/>
      <c r="J67" s="391">
        <f>IF(V17="被保険者",E67*C$7*AA49/12+E$7*(10-O$63)*AA49/12/IF(Z49&lt;=5,20,10),0)</f>
        <v>243100.00000000003</v>
      </c>
      <c r="K67" s="391"/>
      <c r="L67" s="391"/>
      <c r="M67" s="391">
        <f>IF(V17="被保険者",E67*C$8*AA49/12+E$8*(10-O$63)*AA49/12/IF(Z49&lt;=5,20,10),0)</f>
        <v>96840</v>
      </c>
      <c r="N67" s="391"/>
      <c r="O67" s="391"/>
      <c r="P67" s="392">
        <f>IF(V17="被保険者",IF(AND(AO49&gt;=1),(E67*C$9*AO49/12)+E$9*(10-O$63)*AO49/12/10,0),0)</f>
        <v>77360</v>
      </c>
      <c r="Q67" s="393"/>
      <c r="R67" s="394"/>
      <c r="S67" s="392">
        <f>IF(V17="被保険者",IF(AND(Y49&gt;=18),(E67*C$10*AA49/12)+E$10*(10-O$63)*AA49/12/10,0),0)</f>
        <v>10690</v>
      </c>
      <c r="T67" s="394"/>
      <c r="U67" s="395">
        <f>MIN(ROUNDDOWN(SUM(J67:T67),-2))</f>
        <v>427900</v>
      </c>
      <c r="V67" s="396"/>
    </row>
    <row r="68" spans="2:49" ht="31.5" customHeight="1" x14ac:dyDescent="0.45">
      <c r="B68" s="60" t="s">
        <v>14</v>
      </c>
      <c r="C68" s="148" t="str">
        <f>C18</f>
        <v>中之条　花子</v>
      </c>
      <c r="D68" s="149"/>
      <c r="E68" s="388">
        <f>IF(V20="被保険者",IF((N50+T50+AC50+AD50+AE50)&gt;=430000,(N50+T50+AC50+AD50+AE50)-430000,0),0)</f>
        <v>520000</v>
      </c>
      <c r="F68" s="389"/>
      <c r="G68" s="389"/>
      <c r="H68" s="389"/>
      <c r="I68" s="390"/>
      <c r="J68" s="402">
        <f>IF(V20="被保険者",E68*C$7*AA50/12+E$7*(10-O$63)*AA50/12/IF(Y50&lt;=5,20,10),0)</f>
        <v>60400</v>
      </c>
      <c r="K68" s="402"/>
      <c r="L68" s="402"/>
      <c r="M68" s="402">
        <f>IF(V20="被保険者",E68*C$8*AA50/12+E$8*(10-O$63)*AA50/12/IF(Z50&lt;=5,20,10),0)</f>
        <v>23760</v>
      </c>
      <c r="N68" s="402"/>
      <c r="O68" s="402"/>
      <c r="P68" s="397">
        <f>IF(V20="被保険者",IF(AND(AO50&gt;=1),(E68*C$9*AO50/12)+E$9*(10-O$63)*AO50/12/10,0),0)</f>
        <v>0</v>
      </c>
      <c r="Q68" s="403"/>
      <c r="R68" s="404"/>
      <c r="S68" s="397">
        <f>IF(V20="被保険者",IF(AND(Y50&gt;=18),(E68*C$10*AA50/12)+E$10*(10-O$63)*AA50/12/10,0),0)</f>
        <v>2860</v>
      </c>
      <c r="T68" s="404"/>
      <c r="U68" s="397">
        <f t="shared" ref="U68:U74" si="22">MIN(ROUNDDOWN(SUM(J68:T68),-2))</f>
        <v>87000</v>
      </c>
      <c r="V68" s="398"/>
    </row>
    <row r="69" spans="2:49" ht="31.5" customHeight="1" x14ac:dyDescent="0.45">
      <c r="B69" s="60" t="s">
        <v>15</v>
      </c>
      <c r="C69" s="193" t="str">
        <f>C21</f>
        <v>中之条　松子</v>
      </c>
      <c r="D69" s="194"/>
      <c r="E69" s="399">
        <f>IF(V23="被保険者",IF((N51+T51+AC51+AD51+AE51)&gt;=430000,(N51+T51+AC51+AD51+AE51)-430000,0),0)</f>
        <v>0</v>
      </c>
      <c r="F69" s="400"/>
      <c r="G69" s="400"/>
      <c r="H69" s="400"/>
      <c r="I69" s="401"/>
      <c r="J69" s="402">
        <f>IF(V23="被保険者",E69*C$7*AA51/12+E$7*(10-O$63)*AA51/12/IF(Y51&lt;=5,20,10),0)</f>
        <v>0</v>
      </c>
      <c r="K69" s="402"/>
      <c r="L69" s="402"/>
      <c r="M69" s="402">
        <f>IF(V23="被保険者",E69*C$8*AA51/12+E$8*(10-O$63)*AA51/12/IF(Z51&lt;=5,20,10),0)</f>
        <v>0</v>
      </c>
      <c r="N69" s="402"/>
      <c r="O69" s="402"/>
      <c r="P69" s="397">
        <f>IF(V23="被保険者",IF(AND(AO51&gt;=1),(E69*C$9*AO51/12)+E$9*(10-O$63)*AO51/12/10,0),0)</f>
        <v>0</v>
      </c>
      <c r="Q69" s="403"/>
      <c r="R69" s="404"/>
      <c r="S69" s="397">
        <f>IF(V23="被保険者",IF(AND(Y51&gt;=18),(E69*C$10*AA51/12)+E$10*(10-O$63)*AA51/12/10,0),0)</f>
        <v>0</v>
      </c>
      <c r="T69" s="404"/>
      <c r="U69" s="397">
        <f t="shared" si="22"/>
        <v>0</v>
      </c>
      <c r="V69" s="398"/>
    </row>
    <row r="70" spans="2:49" ht="31.5" customHeight="1" x14ac:dyDescent="0.45">
      <c r="B70" s="60" t="s">
        <v>16</v>
      </c>
      <c r="C70" s="174" t="str">
        <f>C24</f>
        <v>中之条　太郎</v>
      </c>
      <c r="D70" s="175"/>
      <c r="E70" s="399">
        <f>IF(V26="被保険者",IF((N52+T52+AC52+AD52+AE52)&gt;=430000,(N52+T52+AC52+AD52+AE52)-430000,0),0)</f>
        <v>0</v>
      </c>
      <c r="F70" s="400"/>
      <c r="G70" s="400"/>
      <c r="H70" s="400"/>
      <c r="I70" s="401"/>
      <c r="J70" s="402">
        <f>IF(V26="被保険者",E70*C$7*AA52/12+E$7*(10-O$63)*AA52/12/IF(Y52&lt;=5,20,10),0)</f>
        <v>12000</v>
      </c>
      <c r="K70" s="402"/>
      <c r="L70" s="402"/>
      <c r="M70" s="402">
        <f>IF(V26="被保険者",E70*C$8*AA52/12+E$8*(10-O$63)*AA52/12/IF(Z52&lt;=5,20,10),0)</f>
        <v>9200</v>
      </c>
      <c r="N70" s="402"/>
      <c r="O70" s="402"/>
      <c r="P70" s="397">
        <f>IF(V26="被保険者",IF(AND(AO52&gt;=1),(E70*C$9*AO52/12)+E$9*(10-O$63)*AO52/12/10,0),0)</f>
        <v>0</v>
      </c>
      <c r="Q70" s="403"/>
      <c r="R70" s="404"/>
      <c r="S70" s="397">
        <f>IF(V26="被保険者",IF(AND(Y52&gt;=18),(E70*C$10*AA52/12)+E$10*(10-O$63)*AA52/12/10,0),0)</f>
        <v>0</v>
      </c>
      <c r="T70" s="404"/>
      <c r="U70" s="397">
        <f t="shared" si="22"/>
        <v>21200</v>
      </c>
      <c r="V70" s="398"/>
    </row>
    <row r="71" spans="2:49" ht="31.5" customHeight="1" x14ac:dyDescent="0.45">
      <c r="B71" s="60" t="s">
        <v>17</v>
      </c>
      <c r="C71" s="148">
        <f>C27</f>
        <v>0</v>
      </c>
      <c r="D71" s="149"/>
      <c r="E71" s="399">
        <f>IF(V29="被保険者",IF((N53+T53+AC53+AD53+AE53)&gt;=430000,(N53+T53+AC53+AD53+AE53)-430000,0),0)</f>
        <v>0</v>
      </c>
      <c r="F71" s="400"/>
      <c r="G71" s="400"/>
      <c r="H71" s="400"/>
      <c r="I71" s="401"/>
      <c r="J71" s="402">
        <f>IF(V29="被保険者",E71*C$7*AA53/12+E$7*(10-O$63)*AA53/12/IF(Y53&lt;=5,20,10),0)</f>
        <v>0</v>
      </c>
      <c r="K71" s="402"/>
      <c r="L71" s="402"/>
      <c r="M71" s="402">
        <f>IF(V29="被保険者",E71*C$8*AA53/12+E$8*(10-O$63)*AA53/12/IF(Z53&lt;=5,20,10),0)</f>
        <v>0</v>
      </c>
      <c r="N71" s="402"/>
      <c r="O71" s="402"/>
      <c r="P71" s="397">
        <f>IF(V29="被保険者",IF(AND(AO53&gt;=1),(E71*C$9*AO53/12)+E$9*(10-O$63)*AO53/12/10,0),0)</f>
        <v>0</v>
      </c>
      <c r="Q71" s="403"/>
      <c r="R71" s="404"/>
      <c r="S71" s="397">
        <f>IF(V29="被保険者",IF(AND(Y53&gt;=18),(E71*C$10*AA53/12)+E$10*(10-O$63)*AA53/12/10,0),0)</f>
        <v>0</v>
      </c>
      <c r="T71" s="404"/>
      <c r="U71" s="397">
        <f t="shared" si="22"/>
        <v>0</v>
      </c>
      <c r="V71" s="398"/>
    </row>
    <row r="72" spans="2:49" ht="31.5" customHeight="1" x14ac:dyDescent="0.45">
      <c r="B72" s="60" t="s">
        <v>18</v>
      </c>
      <c r="C72" s="193">
        <f>C30</f>
        <v>0</v>
      </c>
      <c r="D72" s="194"/>
      <c r="E72" s="399">
        <f>IF(V32="被保険者",IF((N54+T54+AC54+AD54+AE54)&gt;=430000,(N54+T54+AC54+AD54+AE54)-430000,0),0)</f>
        <v>0</v>
      </c>
      <c r="F72" s="400"/>
      <c r="G72" s="400"/>
      <c r="H72" s="400"/>
      <c r="I72" s="401"/>
      <c r="J72" s="402">
        <f>IF(V32="被保険者",E72*C$7*AA54/12+E$7*(10-O$63)*AA54/12/IF(Y54&lt;=5,20,10),0)</f>
        <v>0</v>
      </c>
      <c r="K72" s="402"/>
      <c r="L72" s="402"/>
      <c r="M72" s="402">
        <f>IF(V32="被保険者",E72*C$8*AA54/12+E$8*(10-O$63)*AA54/12/IF(Z54&lt;=5,20,10),0)</f>
        <v>0</v>
      </c>
      <c r="N72" s="402"/>
      <c r="O72" s="402"/>
      <c r="P72" s="397">
        <f>IF(V32="被保険者",IF(AND(AO54&gt;=1),(E72*C$9*AO54/12)+E$9*(10-O$63)*AO54/12/10,0),0)</f>
        <v>0</v>
      </c>
      <c r="Q72" s="403"/>
      <c r="R72" s="404"/>
      <c r="S72" s="397">
        <f>IF(V32="被保険者",IF(AND(Y54&gt;=18),(E72*C$10*AA54/12)+E$10*(10-O$63)*AA54/12/10,0),0)</f>
        <v>0</v>
      </c>
      <c r="T72" s="404"/>
      <c r="U72" s="397">
        <f t="shared" si="22"/>
        <v>0</v>
      </c>
      <c r="V72" s="398"/>
    </row>
    <row r="73" spans="2:49" ht="31.5" customHeight="1" x14ac:dyDescent="0.45">
      <c r="B73" s="60" t="s">
        <v>19</v>
      </c>
      <c r="C73" s="148">
        <f>C33</f>
        <v>0</v>
      </c>
      <c r="D73" s="149"/>
      <c r="E73" s="399">
        <f>IF(V35="被保険者",IF((N55+T55+AC55+AD55+AE55)&gt;=430000,(N55+T55+AC55+AD55+AE55)-430000,0),0)</f>
        <v>0</v>
      </c>
      <c r="F73" s="400"/>
      <c r="G73" s="400"/>
      <c r="H73" s="400"/>
      <c r="I73" s="401"/>
      <c r="J73" s="402">
        <f>IF(V35="被保険者",E73*C$7*AA55/12+E$7*(10-O$63)*AA55/12/IF(Y55&lt;=5,20,10),0)</f>
        <v>0</v>
      </c>
      <c r="K73" s="402"/>
      <c r="L73" s="402"/>
      <c r="M73" s="402">
        <f>IF(V35="被保険者",E73*C$8*AA55/12+E$8*(10-O$63)*AA55/12/IF(Z55&lt;=5,20,10),0)</f>
        <v>0</v>
      </c>
      <c r="N73" s="402"/>
      <c r="O73" s="402"/>
      <c r="P73" s="397">
        <f>IF(V35="被保険者",IF(AND(AO55&gt;=1),(E73*C$9*AO55/12)+E$9*(10-O$63)*AO55/12/10,0),0)</f>
        <v>0</v>
      </c>
      <c r="Q73" s="403"/>
      <c r="R73" s="404"/>
      <c r="S73" s="397">
        <f>IF(V35="被保険者",IF(AND(Y55&gt;=18),(E73*C$10*AA55/12)+E$10*(10-O$63)*AA55/12/10,0),0)</f>
        <v>0</v>
      </c>
      <c r="T73" s="404"/>
      <c r="U73" s="397">
        <f t="shared" si="22"/>
        <v>0</v>
      </c>
      <c r="V73" s="398"/>
    </row>
    <row r="74" spans="2:49" ht="31.5" customHeight="1" x14ac:dyDescent="0.45">
      <c r="B74" s="60" t="s">
        <v>20</v>
      </c>
      <c r="C74" s="174">
        <f>C36</f>
        <v>0</v>
      </c>
      <c r="D74" s="175"/>
      <c r="E74" s="399">
        <f>IF(V38="被保険者",IF((N56+T56+AC56+AD56+AE56)&gt;=430000,(N56+T56+AC56+AD56+AE56)-430000,0),0)</f>
        <v>0</v>
      </c>
      <c r="F74" s="400"/>
      <c r="G74" s="400"/>
      <c r="H74" s="400"/>
      <c r="I74" s="401"/>
      <c r="J74" s="402">
        <f>IF(V38="被保険者",E74*C$7*AA56/12+E$7*(10-O$63)*AA56/12/IF(Y56&lt;=5,20,10),0)</f>
        <v>0</v>
      </c>
      <c r="K74" s="402"/>
      <c r="L74" s="402"/>
      <c r="M74" s="402">
        <f>IF(V38="被保険者",E74*C$8*AA56/12+E$8*(10-O$63)*AA56/12/IF(Z56&lt;=5,20,10),0)</f>
        <v>0</v>
      </c>
      <c r="N74" s="402"/>
      <c r="O74" s="402"/>
      <c r="P74" s="397">
        <f>IF(V38="被保険者",IF(AND(AO56&gt;=1),(E74*C$9*AO56/12)+E$9*(10-O$63)*AO56/12/10,0),0)</f>
        <v>0</v>
      </c>
      <c r="Q74" s="403"/>
      <c r="R74" s="404"/>
      <c r="S74" s="397">
        <f>IF(V38="被保険者",IF(AND(Y56&gt;=18),(E74*C$10*AA56/12)+E$10*(10-O$63)*AA56/12/10,0),0)</f>
        <v>0</v>
      </c>
      <c r="T74" s="404"/>
      <c r="U74" s="405">
        <f t="shared" si="22"/>
        <v>0</v>
      </c>
      <c r="V74" s="406"/>
    </row>
    <row r="75" spans="2:49" ht="31.5" customHeight="1" x14ac:dyDescent="0.45">
      <c r="B75" s="107" t="s">
        <v>21</v>
      </c>
      <c r="C75" s="174">
        <f>C39</f>
        <v>0</v>
      </c>
      <c r="D75" s="175"/>
      <c r="E75" s="407">
        <f>IF(S41="被保険者",IF((N57+T57+AC57+AD57+AE57)&gt;=430000,(N57+T57+AC57+AD57+AE57)-430000,0),0)</f>
        <v>0</v>
      </c>
      <c r="F75" s="408"/>
      <c r="G75" s="408"/>
      <c r="H75" s="408"/>
      <c r="I75" s="409"/>
      <c r="J75" s="410">
        <f>IF(V41="被保険者",E75*C$7*AA57/12+E$7*(10-O$63)*AA57/12/IF(Y57&lt;=5,20,10),0)</f>
        <v>0</v>
      </c>
      <c r="K75" s="410"/>
      <c r="L75" s="410"/>
      <c r="M75" s="410">
        <f>IF(V41="被保険者",E75*C$8*AA57/12+E$8*(10-O$63)*AA57/12/IF(Z57&lt;=5,20,10),0)</f>
        <v>0</v>
      </c>
      <c r="N75" s="410"/>
      <c r="O75" s="410"/>
      <c r="P75" s="411">
        <f>IF(V41="被保険者",IF(AND(AO57&gt;=1),(E75*C$9*AO57/12)+E$9*(10-O$63)*AO57/12/10,0),0)</f>
        <v>0</v>
      </c>
      <c r="Q75" s="412"/>
      <c r="R75" s="413"/>
      <c r="S75" s="411">
        <f>IF(V41="被保険者",IF(AND(Y57&gt;=18),(E75*C$10*AA57/12)+E$10*(10-O$63)*AA57/12/10,0),0)</f>
        <v>0</v>
      </c>
      <c r="T75" s="413"/>
      <c r="U75" s="411">
        <f t="shared" ref="U75" si="23">SUM(J75:T75)</f>
        <v>0</v>
      </c>
      <c r="V75" s="414"/>
    </row>
    <row r="76" spans="2:49" ht="31.5" customHeight="1" thickBot="1" x14ac:dyDescent="0.5">
      <c r="B76" s="108" t="s">
        <v>105</v>
      </c>
      <c r="C76" s="295">
        <f>SUM(D63:N65)</f>
        <v>38400</v>
      </c>
      <c r="D76" s="296"/>
      <c r="E76" s="296"/>
      <c r="F76" s="296"/>
      <c r="G76" s="296"/>
      <c r="H76" s="296"/>
      <c r="I76" s="296"/>
      <c r="J76" s="296"/>
      <c r="K76" s="296"/>
      <c r="L76" s="296"/>
      <c r="M76" s="296"/>
      <c r="N76" s="296"/>
      <c r="O76" s="296"/>
      <c r="P76" s="296"/>
      <c r="Q76" s="296"/>
      <c r="R76" s="296"/>
      <c r="S76" s="296"/>
      <c r="T76" s="296"/>
      <c r="U76" s="296"/>
      <c r="V76" s="297"/>
    </row>
    <row r="77" spans="2:49" s="55" customFormat="1" ht="25.5" customHeight="1" x14ac:dyDescent="0.45">
      <c r="B77" s="71"/>
      <c r="C77" s="56"/>
      <c r="D77" s="56"/>
      <c r="E77" s="57"/>
      <c r="F77" s="57"/>
      <c r="G77" s="57"/>
      <c r="H77" s="57"/>
      <c r="I77" s="57"/>
      <c r="J77" s="57"/>
      <c r="K77" s="57"/>
      <c r="L77" s="57"/>
      <c r="M77" s="57"/>
      <c r="N77" s="57"/>
      <c r="O77" s="57"/>
      <c r="P77" s="57"/>
      <c r="Q77" s="57"/>
      <c r="S77" s="58"/>
      <c r="T77" s="58"/>
      <c r="AI77" s="58"/>
    </row>
    <row r="78" spans="2:49" s="55" customFormat="1" ht="25.5" customHeight="1" x14ac:dyDescent="0.45">
      <c r="B78" s="71"/>
      <c r="C78" s="56"/>
      <c r="D78" s="56"/>
      <c r="E78" s="57"/>
      <c r="F78" s="57"/>
      <c r="G78" s="57"/>
      <c r="H78" s="57"/>
      <c r="I78" s="57"/>
      <c r="J78" s="57"/>
      <c r="K78" s="57"/>
      <c r="L78" s="57"/>
      <c r="M78" s="57"/>
      <c r="N78" s="57"/>
      <c r="O78" s="57"/>
      <c r="P78" s="57"/>
      <c r="Q78" s="57"/>
      <c r="S78" s="58"/>
      <c r="T78" s="58"/>
      <c r="AI78" s="58"/>
    </row>
    <row r="79" spans="2:49" ht="15" customHeight="1" x14ac:dyDescent="0.45">
      <c r="M79" s="12"/>
      <c r="N79" s="12"/>
      <c r="O79" s="12"/>
      <c r="P79" s="12"/>
      <c r="Q79" s="12"/>
    </row>
    <row r="80" spans="2:49" ht="22.8" thickBot="1" x14ac:dyDescent="0.5">
      <c r="B80" s="11" t="s">
        <v>32</v>
      </c>
    </row>
    <row r="81" spans="2:22" ht="34.5" customHeight="1" x14ac:dyDescent="0.45">
      <c r="B81" s="169" t="s">
        <v>5</v>
      </c>
      <c r="C81" s="160"/>
      <c r="D81" s="160"/>
      <c r="E81" s="161"/>
      <c r="F81" s="159" t="s">
        <v>81</v>
      </c>
      <c r="G81" s="160"/>
      <c r="H81" s="160"/>
      <c r="I81" s="160"/>
      <c r="J81" s="161"/>
      <c r="K81" s="159" t="s">
        <v>7</v>
      </c>
      <c r="L81" s="160"/>
      <c r="M81" s="160"/>
      <c r="N81" s="160"/>
      <c r="O81" s="161"/>
      <c r="P81" s="159" t="s">
        <v>102</v>
      </c>
      <c r="Q81" s="160"/>
      <c r="R81" s="161"/>
      <c r="S81" s="160" t="s">
        <v>31</v>
      </c>
      <c r="T81" s="160"/>
      <c r="U81" s="160"/>
      <c r="V81" s="162"/>
    </row>
    <row r="82" spans="2:22" ht="45" customHeight="1" thickBot="1" x14ac:dyDescent="0.5">
      <c r="B82" s="415">
        <f>MIN(ROUNDDOWN(SUM(J67:L75)+D63,-2),I7)</f>
        <v>336700</v>
      </c>
      <c r="C82" s="416"/>
      <c r="D82" s="416"/>
      <c r="E82" s="417"/>
      <c r="F82" s="418">
        <f>MIN(ROUNDDOWN(SUM(M67:O75)+G63,-2),I8)</f>
        <v>138200</v>
      </c>
      <c r="G82" s="416"/>
      <c r="H82" s="416"/>
      <c r="I82" s="416"/>
      <c r="J82" s="417"/>
      <c r="K82" s="418">
        <f>MIN(ROUNDDOWN(SUM(P67:R75)+J63,-2),I9)</f>
        <v>85300</v>
      </c>
      <c r="L82" s="416"/>
      <c r="M82" s="416"/>
      <c r="N82" s="416"/>
      <c r="O82" s="417"/>
      <c r="P82" s="419">
        <f>MIN(ROUNDDOWN(SUM(S67:T75)+M63,-2),I10)</f>
        <v>14300</v>
      </c>
      <c r="Q82" s="420"/>
      <c r="R82" s="421"/>
      <c r="S82" s="422">
        <f>SUM(B82:R82)</f>
        <v>574500</v>
      </c>
      <c r="T82" s="423"/>
      <c r="U82" s="423"/>
      <c r="V82" s="424"/>
    </row>
    <row r="83" spans="2:22" ht="25.5" customHeight="1" x14ac:dyDescent="0.45">
      <c r="B83" s="150" t="s">
        <v>82</v>
      </c>
      <c r="C83" s="150"/>
      <c r="D83" s="150"/>
      <c r="E83" s="150"/>
      <c r="F83" s="150"/>
      <c r="G83" s="150"/>
      <c r="H83" s="150"/>
      <c r="I83" s="150"/>
      <c r="J83" s="150"/>
      <c r="K83" s="150"/>
      <c r="L83" s="150"/>
      <c r="M83" s="150"/>
      <c r="N83" s="150"/>
      <c r="O83" s="150"/>
      <c r="P83" s="150"/>
      <c r="Q83" s="150"/>
      <c r="R83" s="150"/>
      <c r="S83" s="150"/>
      <c r="T83" s="150"/>
      <c r="U83" s="150"/>
      <c r="V83" s="150"/>
    </row>
    <row r="84" spans="2:22" ht="25.5" customHeight="1" x14ac:dyDescent="0.45">
      <c r="B84" s="151" t="s">
        <v>97</v>
      </c>
      <c r="C84" s="151"/>
      <c r="D84" s="151"/>
      <c r="E84" s="151"/>
      <c r="F84" s="151"/>
      <c r="G84" s="151"/>
      <c r="H84" s="151"/>
      <c r="I84" s="151"/>
      <c r="J84" s="151"/>
      <c r="K84" s="151"/>
      <c r="L84" s="151"/>
      <c r="M84" s="151"/>
      <c r="N84" s="151"/>
      <c r="O84" s="151"/>
      <c r="P84" s="151"/>
      <c r="Q84" s="151"/>
      <c r="R84" s="151"/>
      <c r="S84" s="151"/>
      <c r="T84" s="151"/>
      <c r="U84" s="151"/>
      <c r="V84" s="151"/>
    </row>
    <row r="85" spans="2:22" ht="16.5" customHeight="1" x14ac:dyDescent="0.45">
      <c r="B85" s="59"/>
      <c r="C85" s="59"/>
      <c r="D85" s="59"/>
      <c r="E85" s="59"/>
      <c r="F85" s="59"/>
      <c r="G85" s="59"/>
      <c r="H85" s="59"/>
      <c r="I85" s="59"/>
      <c r="J85" s="59"/>
    </row>
  </sheetData>
  <sheetProtection algorithmName="SHA-512" hashValue="A3mo08bmwV6LueJcbs74K263S/7PaH4tWnamqCnqHG23jMIFi0GkiQIHfm2b9F6mVAH+p+tktCJvgA0JzVnKuA==" saltValue="4hvS/uzJvC7FuNN/BdATHA==" spinCount="100000" sheet="1" objects="1" scenarios="1" selectLockedCells="1" selectUnlockedCells="1"/>
  <protectedRanges>
    <protectedRange sqref="G46:T46 E46 AJ43:AW46 N49 O50:P58 P49 E49:E58 I49:J58 L49:M58 E27:E42 C49:C58 C46 C27:C42 R49:S58 T58 V58:AL58 F42:X42 F45:U45 U49:Z57 V15:X24 AB49:AJ57 F27:X27 S25:X26 S15:U20 S22:U23 S28:X41 F15:R15 F18:R18 F24:U24 F21:U21" name="範囲1"/>
    <protectedRange sqref="G43:T44" name="範囲1_1"/>
    <protectedRange sqref="F17 G16:R17" name="範囲1_2"/>
    <protectedRange sqref="F20 G19:R20" name="範囲1_3"/>
    <protectedRange sqref="G22:R22 F23:R23" name="範囲1_4"/>
    <protectedRange sqref="F26:R26 G25:R25" name="範囲1_5"/>
    <protectedRange sqref="F32 F35 F38 F41 F39:R39 F36:R36 G37:R38 F33:R33 G34:R35 G31:R32 F29:R30 G28:R28 G40:R41" name="範囲1_6"/>
    <protectedRange sqref="AK49:AL57" name="範囲1_7"/>
    <protectedRange sqref="E15:E26 C15:C26" name="範囲1_8"/>
  </protectedRanges>
  <mergeCells count="247">
    <mergeCell ref="B84:V84"/>
    <mergeCell ref="B82:E82"/>
    <mergeCell ref="F82:J82"/>
    <mergeCell ref="K82:O82"/>
    <mergeCell ref="P82:R82"/>
    <mergeCell ref="S82:V82"/>
    <mergeCell ref="B83:V83"/>
    <mergeCell ref="C76:V76"/>
    <mergeCell ref="B81:E81"/>
    <mergeCell ref="F81:J81"/>
    <mergeCell ref="K81:O81"/>
    <mergeCell ref="P81:R81"/>
    <mergeCell ref="S81:V81"/>
    <mergeCell ref="U74:V74"/>
    <mergeCell ref="C75:D75"/>
    <mergeCell ref="E75:I75"/>
    <mergeCell ref="J75:L75"/>
    <mergeCell ref="M75:O75"/>
    <mergeCell ref="P75:R75"/>
    <mergeCell ref="S75:T75"/>
    <mergeCell ref="U75:V75"/>
    <mergeCell ref="C74:D74"/>
    <mergeCell ref="E74:I74"/>
    <mergeCell ref="J74:L74"/>
    <mergeCell ref="M74:O74"/>
    <mergeCell ref="P74:R74"/>
    <mergeCell ref="S74:T74"/>
    <mergeCell ref="U72:V72"/>
    <mergeCell ref="C73:D73"/>
    <mergeCell ref="E73:I73"/>
    <mergeCell ref="J73:L73"/>
    <mergeCell ref="M73:O73"/>
    <mergeCell ref="P73:R73"/>
    <mergeCell ref="S73:T73"/>
    <mergeCell ref="U73:V73"/>
    <mergeCell ref="C72:D72"/>
    <mergeCell ref="E72:I72"/>
    <mergeCell ref="J72:L72"/>
    <mergeCell ref="M72:O72"/>
    <mergeCell ref="P72:R72"/>
    <mergeCell ref="S72:T72"/>
    <mergeCell ref="U70:V70"/>
    <mergeCell ref="C71:D71"/>
    <mergeCell ref="E71:I71"/>
    <mergeCell ref="J71:L71"/>
    <mergeCell ref="M71:O71"/>
    <mergeCell ref="P71:R71"/>
    <mergeCell ref="S71:T71"/>
    <mergeCell ref="U71:V71"/>
    <mergeCell ref="C70:D70"/>
    <mergeCell ref="E70:I70"/>
    <mergeCell ref="J70:L70"/>
    <mergeCell ref="M70:O70"/>
    <mergeCell ref="P70:R70"/>
    <mergeCell ref="S70:T70"/>
    <mergeCell ref="U68:V68"/>
    <mergeCell ref="C69:D69"/>
    <mergeCell ref="E69:I69"/>
    <mergeCell ref="J69:L69"/>
    <mergeCell ref="M69:O69"/>
    <mergeCell ref="P69:R69"/>
    <mergeCell ref="S69:T69"/>
    <mergeCell ref="U69:V69"/>
    <mergeCell ref="C68:D68"/>
    <mergeCell ref="E68:I68"/>
    <mergeCell ref="J68:L68"/>
    <mergeCell ref="M68:O68"/>
    <mergeCell ref="P68:R68"/>
    <mergeCell ref="S68:T68"/>
    <mergeCell ref="U66:V66"/>
    <mergeCell ref="C67:D67"/>
    <mergeCell ref="E67:I67"/>
    <mergeCell ref="J67:L67"/>
    <mergeCell ref="M67:O67"/>
    <mergeCell ref="P67:R67"/>
    <mergeCell ref="S67:T67"/>
    <mergeCell ref="U67:V67"/>
    <mergeCell ref="C66:D66"/>
    <mergeCell ref="E66:I66"/>
    <mergeCell ref="J66:L66"/>
    <mergeCell ref="M66:O66"/>
    <mergeCell ref="P66:R66"/>
    <mergeCell ref="S66:T66"/>
    <mergeCell ref="U63:V63"/>
    <mergeCell ref="B64:C64"/>
    <mergeCell ref="U64:V64"/>
    <mergeCell ref="B65:C65"/>
    <mergeCell ref="O65:P65"/>
    <mergeCell ref="U65:V65"/>
    <mergeCell ref="Q62:Q65"/>
    <mergeCell ref="R62:S62"/>
    <mergeCell ref="U62:V62"/>
    <mergeCell ref="B63:C63"/>
    <mergeCell ref="D63:F65"/>
    <mergeCell ref="G63:I65"/>
    <mergeCell ref="J63:L65"/>
    <mergeCell ref="M63:N65"/>
    <mergeCell ref="O63:P64"/>
    <mergeCell ref="R63:S65"/>
    <mergeCell ref="B59:V59"/>
    <mergeCell ref="B61:C61"/>
    <mergeCell ref="D61:L61"/>
    <mergeCell ref="M61:V61"/>
    <mergeCell ref="B62:C62"/>
    <mergeCell ref="D62:F62"/>
    <mergeCell ref="G62:I62"/>
    <mergeCell ref="J62:L62"/>
    <mergeCell ref="M62:N62"/>
    <mergeCell ref="O62:P62"/>
    <mergeCell ref="T56:V56"/>
    <mergeCell ref="C57:D57"/>
    <mergeCell ref="E57:G57"/>
    <mergeCell ref="H57:J57"/>
    <mergeCell ref="K57:M57"/>
    <mergeCell ref="N57:P57"/>
    <mergeCell ref="Q57:S57"/>
    <mergeCell ref="T57:V57"/>
    <mergeCell ref="C56:D56"/>
    <mergeCell ref="E56:G56"/>
    <mergeCell ref="H56:J56"/>
    <mergeCell ref="K56:M56"/>
    <mergeCell ref="N56:P56"/>
    <mergeCell ref="Q56:S56"/>
    <mergeCell ref="T54:V54"/>
    <mergeCell ref="C55:D55"/>
    <mergeCell ref="E55:G55"/>
    <mergeCell ref="H55:J55"/>
    <mergeCell ref="K55:M55"/>
    <mergeCell ref="N55:P55"/>
    <mergeCell ref="Q55:S55"/>
    <mergeCell ref="T55:V55"/>
    <mergeCell ref="C54:D54"/>
    <mergeCell ref="E54:G54"/>
    <mergeCell ref="H54:J54"/>
    <mergeCell ref="K54:M54"/>
    <mergeCell ref="N54:P54"/>
    <mergeCell ref="Q54:S54"/>
    <mergeCell ref="AS49:AS57"/>
    <mergeCell ref="AT49:AT57"/>
    <mergeCell ref="C50:D50"/>
    <mergeCell ref="E50:G50"/>
    <mergeCell ref="H50:J50"/>
    <mergeCell ref="K50:M50"/>
    <mergeCell ref="N50:P50"/>
    <mergeCell ref="Q50:S50"/>
    <mergeCell ref="T50:V50"/>
    <mergeCell ref="C51:D51"/>
    <mergeCell ref="T52:V52"/>
    <mergeCell ref="C53:D53"/>
    <mergeCell ref="E53:G53"/>
    <mergeCell ref="H53:J53"/>
    <mergeCell ref="K53:M53"/>
    <mergeCell ref="N53:P53"/>
    <mergeCell ref="Q53:S53"/>
    <mergeCell ref="T53:V53"/>
    <mergeCell ref="C52:D52"/>
    <mergeCell ref="E52:G52"/>
    <mergeCell ref="H52:J52"/>
    <mergeCell ref="K52:M52"/>
    <mergeCell ref="N52:P52"/>
    <mergeCell ref="Q52:S52"/>
    <mergeCell ref="C49:D49"/>
    <mergeCell ref="E49:G49"/>
    <mergeCell ref="H49:J49"/>
    <mergeCell ref="K49:M49"/>
    <mergeCell ref="N49:P49"/>
    <mergeCell ref="Q49:S49"/>
    <mergeCell ref="T49:V49"/>
    <mergeCell ref="E51:G51"/>
    <mergeCell ref="H51:J51"/>
    <mergeCell ref="K51:M51"/>
    <mergeCell ref="N51:P51"/>
    <mergeCell ref="Q51:S51"/>
    <mergeCell ref="T51:V51"/>
    <mergeCell ref="C42:E42"/>
    <mergeCell ref="U42:V45"/>
    <mergeCell ref="C43:E43"/>
    <mergeCell ref="C44:E44"/>
    <mergeCell ref="C45:E45"/>
    <mergeCell ref="C48:D48"/>
    <mergeCell ref="E48:G48"/>
    <mergeCell ref="H48:J48"/>
    <mergeCell ref="K48:M48"/>
    <mergeCell ref="N48:P48"/>
    <mergeCell ref="Q48:S48"/>
    <mergeCell ref="T48:V48"/>
    <mergeCell ref="B36:B38"/>
    <mergeCell ref="C36:D38"/>
    <mergeCell ref="E36:E38"/>
    <mergeCell ref="T36:U36"/>
    <mergeCell ref="B39:B41"/>
    <mergeCell ref="C39:D41"/>
    <mergeCell ref="E39:E41"/>
    <mergeCell ref="T39:U39"/>
    <mergeCell ref="B30:B32"/>
    <mergeCell ref="C30:D32"/>
    <mergeCell ref="E30:E32"/>
    <mergeCell ref="T30:U30"/>
    <mergeCell ref="B33:B35"/>
    <mergeCell ref="C33:D35"/>
    <mergeCell ref="E33:E35"/>
    <mergeCell ref="T33:U33"/>
    <mergeCell ref="B24:B26"/>
    <mergeCell ref="C24:D26"/>
    <mergeCell ref="E24:E26"/>
    <mergeCell ref="T24:U24"/>
    <mergeCell ref="B27:B29"/>
    <mergeCell ref="C27:D29"/>
    <mergeCell ref="E27:E29"/>
    <mergeCell ref="T27:U27"/>
    <mergeCell ref="B18:B20"/>
    <mergeCell ref="C18:D20"/>
    <mergeCell ref="E18:E20"/>
    <mergeCell ref="T18:U18"/>
    <mergeCell ref="B21:B23"/>
    <mergeCell ref="C21:D23"/>
    <mergeCell ref="E21:E23"/>
    <mergeCell ref="T21:U21"/>
    <mergeCell ref="B12:V12"/>
    <mergeCell ref="C14:D14"/>
    <mergeCell ref="T14:U14"/>
    <mergeCell ref="B15:B17"/>
    <mergeCell ref="C15:D17"/>
    <mergeCell ref="E15:E17"/>
    <mergeCell ref="T15:U15"/>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B3:V3"/>
    <mergeCell ref="B4:V4"/>
    <mergeCell ref="C6:D6"/>
    <mergeCell ref="E6:F6"/>
    <mergeCell ref="G6:H6"/>
    <mergeCell ref="I6:J6"/>
  </mergeCells>
  <phoneticPr fontId="2"/>
  <conditionalFormatting sqref="F15:R39">
    <cfRule type="cellIs" dxfId="7" priority="1" operator="equal">
      <formula>"（特）後期"</formula>
    </cfRule>
    <cfRule type="cellIs" dxfId="6" priority="2" operator="equal">
      <formula>"後期"</formula>
    </cfRule>
    <cfRule type="cellIs" dxfId="5" priority="3" operator="equal">
      <formula>"国保"</formula>
    </cfRule>
    <cfRule type="cellIs" dxfId="4" priority="4" operator="equal">
      <formula>"社保"</formula>
    </cfRule>
  </conditionalFormatting>
  <dataValidations count="8">
    <dataValidation type="whole" imeMode="halfAlpha" operator="greaterThanOrEqual" allowBlank="1" showInputMessage="1" showErrorMessage="1" sqref="E49:V57" xr:uid="{15BAA3EC-A37E-4A5D-A954-5698D1ABEC5D}">
      <formula1>0</formula1>
    </dataValidation>
    <dataValidation imeMode="halfAlpha" allowBlank="1" showInputMessage="1" showErrorMessage="1" sqref="E15:E41" xr:uid="{E243C93A-BCD0-48A5-97D1-7E480A87ED99}"/>
    <dataValidation imeMode="hiragana" allowBlank="1" showInputMessage="1" showErrorMessage="1" sqref="C15:D41" xr:uid="{32D9167B-C547-4D0D-A373-72BDDFB04307}"/>
    <dataValidation type="list" allowBlank="1" showInputMessage="1" showErrorMessage="1" sqref="F24:R24 F18:R18 F27:R27 F36:R36 F39:R39 F33:R33 F30:R30 F21:R21" xr:uid="{0E408F43-52E8-45F9-87D2-0FBA1E06FE8D}">
      <formula1>"国保,（特）後期"</formula1>
    </dataValidation>
    <dataValidation type="list" allowBlank="1" showInputMessage="1" showErrorMessage="1" sqref="S18 S21 S24 S27 S30 S33 S36 S39" xr:uid="{80B6CABD-290E-48CF-BFE7-86491D39241C}">
      <formula1>"○"</formula1>
    </dataValidation>
    <dataValidation type="list" allowBlank="1" showInputMessage="1" showErrorMessage="1" errorTitle="後期高齢者のため入力できません" sqref="F15:R15" xr:uid="{9C65D9E0-5F8C-4ECA-AF91-6857826268A0}">
      <formula1>"国保,社保,後期,（特）後期"</formula1>
    </dataValidation>
    <dataValidation type="whole" operator="greaterThanOrEqual" allowBlank="1" showInputMessage="1" showErrorMessage="1" sqref="E58" xr:uid="{6F009FC8-15BA-47F5-8A6A-37B840331627}">
      <formula1>0</formula1>
    </dataValidation>
    <dataValidation type="list" allowBlank="1" showInputMessage="1" showErrorMessage="1" sqref="T18 T39 T21 T24 T27 T30 T33 T36 T15" xr:uid="{BA529B48-988F-4A44-9F43-4EB77B2FE5E3}">
      <formula1>"11,12,21,22,23,31,32,33,34"</formula1>
    </dataValidation>
  </dataValidations>
  <pageMargins left="0.39370078740157483" right="0.39370078740157483" top="0.39370078740157483" bottom="0.39370078740157483" header="0.31496062992125984" footer="0.31496062992125984"/>
  <pageSetup paperSize="8" scale="69" fitToHeight="0" orientation="portrait" r:id="rId1"/>
  <rowBreaks count="1" manualBreakCount="1">
    <brk id="58" max="22" man="1"/>
  </rowBreaks>
  <colBreaks count="2" manualBreakCount="2">
    <brk id="24" max="1048575" man="1"/>
    <brk id="3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61E42-E7E6-46F8-A67B-6BB6555A03A8}">
  <sheetPr>
    <pageSetUpPr fitToPage="1"/>
  </sheetPr>
  <dimension ref="A1:BF85"/>
  <sheetViews>
    <sheetView showZeros="0" tabSelected="1" view="pageBreakPreview" topLeftCell="A88" zoomScale="98" zoomScaleNormal="98" zoomScaleSheetLayoutView="98" workbookViewId="0">
      <selection activeCell="P7" sqref="P7"/>
    </sheetView>
  </sheetViews>
  <sheetFormatPr defaultColWidth="9" defaultRowHeight="16.2" x14ac:dyDescent="0.45"/>
  <cols>
    <col min="1" max="1" width="3.09765625" style="1" customWidth="1"/>
    <col min="2" max="2" width="20" style="1" customWidth="1"/>
    <col min="3" max="6" width="8.69921875" style="1" customWidth="1"/>
    <col min="7" max="18" width="7.5" style="1" customWidth="1"/>
    <col min="19" max="20" width="8" style="5" customWidth="1"/>
    <col min="21" max="22" width="7.8984375" style="1" customWidth="1"/>
    <col min="23" max="23" width="3.09765625" style="1" customWidth="1"/>
    <col min="24" max="24" width="7.69921875" style="1" customWidth="1"/>
    <col min="25" max="25" width="10.09765625" style="1" customWidth="1"/>
    <col min="26" max="26" width="15.5" style="1" customWidth="1"/>
    <col min="27" max="27" width="13.69921875" style="1" customWidth="1"/>
    <col min="28" max="29" width="21" style="1" customWidth="1"/>
    <col min="30" max="30" width="11.69921875" style="1" customWidth="1"/>
    <col min="31" max="31" width="15.5" style="1" customWidth="1"/>
    <col min="32" max="33" width="13.69921875" style="1" customWidth="1"/>
    <col min="34" max="34" width="21" style="1" customWidth="1"/>
    <col min="35" max="35" width="15.5" style="5" customWidth="1"/>
    <col min="36" max="36" width="15.5" style="1" customWidth="1"/>
    <col min="37" max="37" width="11.69921875" style="1" customWidth="1"/>
    <col min="38" max="38" width="13.69921875" style="1" customWidth="1"/>
    <col min="39" max="39" width="13.3984375" style="1" customWidth="1"/>
    <col min="40" max="41" width="9.8984375" style="1" customWidth="1"/>
    <col min="42" max="42" width="8.19921875" style="1" customWidth="1"/>
    <col min="43" max="43" width="9.8984375" style="1" customWidth="1"/>
    <col min="44" max="44" width="13.3984375" style="1" customWidth="1"/>
    <col min="45" max="45" width="11.69921875" style="1" customWidth="1"/>
    <col min="46" max="46" width="15.5" style="1" customWidth="1"/>
    <col min="47" max="47" width="15.19921875" style="1" customWidth="1"/>
    <col min="48" max="48" width="28.19921875" style="1" customWidth="1"/>
    <col min="49" max="49" width="11.8984375" style="1" customWidth="1"/>
    <col min="50" max="50" width="10" style="1" customWidth="1"/>
    <col min="51" max="51" width="12.09765625" style="1" customWidth="1"/>
    <col min="52" max="60" width="9" style="1" customWidth="1"/>
    <col min="61" max="16384" width="9" style="1"/>
  </cols>
  <sheetData>
    <row r="1" spans="2:48" ht="33.75" customHeight="1" thickBot="1" x14ac:dyDescent="0.5">
      <c r="B1" s="78">
        <v>2026</v>
      </c>
      <c r="L1" s="2"/>
      <c r="M1" s="2"/>
      <c r="N1" s="2"/>
      <c r="O1" s="2"/>
      <c r="P1" s="2"/>
      <c r="Q1" s="2"/>
      <c r="R1" s="2"/>
      <c r="S1" s="3"/>
      <c r="T1" s="3"/>
      <c r="U1" s="3"/>
      <c r="V1" s="3"/>
      <c r="W1" s="3"/>
      <c r="X1" s="3"/>
      <c r="Y1" s="3"/>
      <c r="Z1" s="3"/>
      <c r="AA1" s="3"/>
      <c r="AB1" s="3"/>
      <c r="AC1" s="3"/>
      <c r="AD1" s="3"/>
      <c r="AE1" s="3"/>
      <c r="AF1" s="3"/>
      <c r="AG1" s="3"/>
      <c r="AH1" s="3"/>
      <c r="AI1" s="3"/>
      <c r="AJ1" s="3"/>
      <c r="AK1" s="3"/>
    </row>
    <row r="2" spans="2:48" ht="22.8" thickBot="1" x14ac:dyDescent="0.5">
      <c r="B2" s="46"/>
      <c r="L2" s="2"/>
      <c r="M2" s="2"/>
      <c r="N2" s="2"/>
      <c r="O2" s="2"/>
      <c r="P2" s="2"/>
      <c r="Q2" s="2"/>
      <c r="R2" s="2"/>
      <c r="S2" s="3"/>
      <c r="T2" s="3"/>
      <c r="U2" s="3"/>
      <c r="V2" s="3"/>
      <c r="W2" s="3"/>
      <c r="X2" s="3"/>
      <c r="Y2" s="3"/>
      <c r="Z2" s="3"/>
      <c r="AA2" s="3"/>
      <c r="AB2" s="3"/>
      <c r="AC2" s="3"/>
      <c r="AD2" s="3"/>
      <c r="AE2" s="3"/>
      <c r="AF2" s="3"/>
      <c r="AG2" s="3"/>
      <c r="AH2" s="3"/>
      <c r="AI2" s="3"/>
      <c r="AJ2" s="3"/>
      <c r="AK2" s="3"/>
    </row>
    <row r="3" spans="2:48" ht="29.25" customHeight="1" thickBot="1" x14ac:dyDescent="0.5">
      <c r="B3" s="223" t="s">
        <v>86</v>
      </c>
      <c r="C3" s="224"/>
      <c r="D3" s="224"/>
      <c r="E3" s="224"/>
      <c r="F3" s="224"/>
      <c r="G3" s="224"/>
      <c r="H3" s="224"/>
      <c r="I3" s="224"/>
      <c r="J3" s="224"/>
      <c r="K3" s="224"/>
      <c r="L3" s="224"/>
      <c r="M3" s="224"/>
      <c r="N3" s="224"/>
      <c r="O3" s="224"/>
      <c r="P3" s="224"/>
      <c r="Q3" s="224"/>
      <c r="R3" s="224"/>
      <c r="S3" s="224"/>
      <c r="T3" s="224"/>
      <c r="U3" s="224"/>
      <c r="V3" s="224"/>
      <c r="W3" s="70"/>
      <c r="X3" s="4"/>
      <c r="Y3" s="4"/>
      <c r="Z3" s="4"/>
      <c r="AA3" s="4"/>
      <c r="AB3" s="4"/>
      <c r="AC3" s="4"/>
      <c r="AD3" s="4"/>
      <c r="AE3" s="4"/>
      <c r="AF3" s="4"/>
      <c r="AG3" s="4"/>
      <c r="AH3" s="4"/>
      <c r="AI3" s="4"/>
      <c r="AJ3" s="4"/>
      <c r="AK3" s="4"/>
    </row>
    <row r="4" spans="2:48" ht="48.75" customHeight="1" x14ac:dyDescent="0.45">
      <c r="B4" s="298" t="s">
        <v>76</v>
      </c>
      <c r="C4" s="298"/>
      <c r="D4" s="298"/>
      <c r="E4" s="298"/>
      <c r="F4" s="298"/>
      <c r="G4" s="298"/>
      <c r="H4" s="298"/>
      <c r="I4" s="298"/>
      <c r="J4" s="298"/>
      <c r="K4" s="298"/>
      <c r="L4" s="298"/>
      <c r="M4" s="298"/>
      <c r="N4" s="298"/>
      <c r="O4" s="298"/>
      <c r="P4" s="298"/>
      <c r="Q4" s="298"/>
      <c r="R4" s="298"/>
      <c r="S4" s="298"/>
      <c r="T4" s="298"/>
      <c r="U4" s="298"/>
      <c r="V4" s="298"/>
    </row>
    <row r="5" spans="2:48" ht="22.8" thickBot="1" x14ac:dyDescent="0.5">
      <c r="B5" s="11" t="s">
        <v>0</v>
      </c>
      <c r="Y5" s="13" t="s">
        <v>45</v>
      </c>
      <c r="Z5" s="5" t="s">
        <v>46</v>
      </c>
      <c r="AA5" s="19">
        <f>DATE(B1,1,1)</f>
        <v>44561</v>
      </c>
      <c r="AB5" s="14" t="s">
        <v>49</v>
      </c>
      <c r="AC5" s="19">
        <f>MIN(AP49:AP57)</f>
        <v>0</v>
      </c>
      <c r="AD5" s="13"/>
      <c r="AE5" s="13"/>
      <c r="AF5" s="13"/>
      <c r="AG5" s="13"/>
      <c r="AH5" s="13"/>
      <c r="AI5" s="13"/>
      <c r="AJ5" s="13"/>
    </row>
    <row r="6" spans="2:48" ht="25.5" customHeight="1" thickBot="1" x14ac:dyDescent="0.5">
      <c r="B6" s="47"/>
      <c r="C6" s="299" t="s">
        <v>1</v>
      </c>
      <c r="D6" s="300"/>
      <c r="E6" s="301" t="s">
        <v>2</v>
      </c>
      <c r="F6" s="302"/>
      <c r="G6" s="301" t="s">
        <v>3</v>
      </c>
      <c r="H6" s="299"/>
      <c r="I6" s="300" t="s">
        <v>4</v>
      </c>
      <c r="J6" s="303"/>
      <c r="Z6" s="5" t="s">
        <v>47</v>
      </c>
      <c r="AA6" s="19">
        <f>DATE(B1,4,1)</f>
        <v>44651</v>
      </c>
      <c r="AB6" s="14" t="s">
        <v>50</v>
      </c>
      <c r="AC6" s="19">
        <f>MIN(AQ49:AQ57)</f>
        <v>0</v>
      </c>
    </row>
    <row r="7" spans="2:48" ht="25.5" customHeight="1" x14ac:dyDescent="0.45">
      <c r="B7" s="48" t="s">
        <v>5</v>
      </c>
      <c r="C7" s="321">
        <v>7.0000000000000007E-2</v>
      </c>
      <c r="D7" s="322"/>
      <c r="E7" s="323">
        <v>24000</v>
      </c>
      <c r="F7" s="324"/>
      <c r="G7" s="323">
        <v>21200</v>
      </c>
      <c r="H7" s="325"/>
      <c r="I7" s="326">
        <v>670000</v>
      </c>
      <c r="J7" s="327"/>
      <c r="Z7" s="5" t="s">
        <v>48</v>
      </c>
      <c r="AA7" s="19">
        <f>DATE(B1+1,4,1)</f>
        <v>45016</v>
      </c>
      <c r="AB7" s="14" t="s">
        <v>51</v>
      </c>
      <c r="AC7" s="19">
        <f>MIN(AR49:AR57)</f>
        <v>0</v>
      </c>
    </row>
    <row r="8" spans="2:48" ht="25.5" customHeight="1" x14ac:dyDescent="0.45">
      <c r="B8" s="49" t="s">
        <v>6</v>
      </c>
      <c r="C8" s="328">
        <v>2.8000000000000001E-2</v>
      </c>
      <c r="D8" s="329"/>
      <c r="E8" s="330">
        <v>9200</v>
      </c>
      <c r="F8" s="331"/>
      <c r="G8" s="330">
        <v>8400</v>
      </c>
      <c r="H8" s="332"/>
      <c r="I8" s="285">
        <v>260000</v>
      </c>
      <c r="J8" s="286"/>
      <c r="Z8" s="5"/>
      <c r="AA8" s="19"/>
      <c r="AB8" s="5" t="s">
        <v>53</v>
      </c>
      <c r="AC8" s="19">
        <f>DATE(YEAR(AA7)+5,MONTH(AA7),DAY(AA7))</f>
        <v>46843</v>
      </c>
    </row>
    <row r="9" spans="2:48" ht="25.5" customHeight="1" x14ac:dyDescent="0.45">
      <c r="B9" s="102" t="s">
        <v>7</v>
      </c>
      <c r="C9" s="152">
        <v>2.1999999999999999E-2</v>
      </c>
      <c r="D9" s="153"/>
      <c r="E9" s="154">
        <v>8500</v>
      </c>
      <c r="F9" s="155"/>
      <c r="G9" s="154">
        <v>8000</v>
      </c>
      <c r="H9" s="156"/>
      <c r="I9" s="157">
        <v>170000</v>
      </c>
      <c r="J9" s="158"/>
      <c r="Z9" s="5"/>
      <c r="AA9" s="19"/>
      <c r="AB9" s="5"/>
      <c r="AC9" s="19"/>
    </row>
    <row r="10" spans="2:48" ht="25.5" customHeight="1" thickBot="1" x14ac:dyDescent="0.5">
      <c r="B10" s="50" t="s">
        <v>102</v>
      </c>
      <c r="C10" s="311">
        <v>3.0000000000000001E-3</v>
      </c>
      <c r="D10" s="312"/>
      <c r="E10" s="313">
        <v>1300</v>
      </c>
      <c r="F10" s="314"/>
      <c r="G10" s="313">
        <v>800</v>
      </c>
      <c r="H10" s="315"/>
      <c r="I10" s="316">
        <v>30000</v>
      </c>
      <c r="J10" s="317"/>
      <c r="K10" s="1" t="s">
        <v>111</v>
      </c>
      <c r="AB10" s="5" t="s">
        <v>52</v>
      </c>
      <c r="AC10" s="19">
        <f>DATE(YEAR(AC8)+3,MONTH(AC8),DAY(AC8))</f>
        <v>47938</v>
      </c>
    </row>
    <row r="11" spans="2:48" x14ac:dyDescent="0.45">
      <c r="B11" s="5"/>
      <c r="C11" s="6"/>
      <c r="D11" s="6"/>
      <c r="E11" s="7"/>
      <c r="F11" s="7"/>
      <c r="G11" s="7"/>
      <c r="H11" s="7"/>
      <c r="I11" s="7"/>
      <c r="J11" s="7"/>
      <c r="K11" s="7"/>
      <c r="L11" s="7"/>
      <c r="M11" s="7"/>
      <c r="N11" s="7"/>
      <c r="O11" s="7"/>
      <c r="P11" s="7"/>
      <c r="Q11" s="7"/>
    </row>
    <row r="12" spans="2:48" ht="22.8" thickBot="1" x14ac:dyDescent="0.5">
      <c r="B12" s="318" t="s">
        <v>87</v>
      </c>
      <c r="C12" s="318"/>
      <c r="D12" s="318"/>
      <c r="E12" s="318"/>
      <c r="F12" s="318"/>
      <c r="G12" s="318"/>
      <c r="H12" s="318"/>
      <c r="I12" s="318"/>
      <c r="J12" s="318"/>
      <c r="K12" s="318"/>
      <c r="L12" s="318"/>
      <c r="M12" s="318"/>
      <c r="N12" s="318"/>
      <c r="O12" s="318"/>
      <c r="P12" s="318"/>
      <c r="Q12" s="318"/>
      <c r="R12" s="318"/>
      <c r="S12" s="318"/>
      <c r="T12" s="318"/>
      <c r="U12" s="318"/>
      <c r="V12" s="318"/>
      <c r="Y12" s="18"/>
      <c r="Z12" s="18"/>
      <c r="AA12" s="18"/>
      <c r="AB12" s="18"/>
      <c r="AC12" s="18"/>
      <c r="AD12" s="18"/>
      <c r="AE12" s="18"/>
      <c r="AF12" s="18"/>
      <c r="AG12" s="18"/>
      <c r="AH12" s="18"/>
      <c r="AI12" s="25"/>
      <c r="AJ12" s="18"/>
    </row>
    <row r="13" spans="2:48" ht="16.8" thickBot="1" x14ac:dyDescent="0.5">
      <c r="G13" s="23">
        <f>EOMONTH($F$14,0)</f>
        <v>44680</v>
      </c>
      <c r="H13" s="24">
        <f>EOMONTH($F$14,1)</f>
        <v>44711</v>
      </c>
      <c r="I13" s="23">
        <f>EOMONTH($F$14,2)</f>
        <v>44741</v>
      </c>
      <c r="J13" s="23">
        <f>EOMONTH($F$14,3)</f>
        <v>44772</v>
      </c>
      <c r="K13" s="23">
        <f>EOMONTH($F$14,4)</f>
        <v>44803</v>
      </c>
      <c r="L13" s="23">
        <f>EOMONTH($F$14,5)</f>
        <v>44833</v>
      </c>
      <c r="M13" s="24">
        <f>EOMONTH($F$14,6)</f>
        <v>44864</v>
      </c>
      <c r="N13" s="23">
        <f>EOMONTH($F$14,7)</f>
        <v>44894</v>
      </c>
      <c r="O13" s="23">
        <f>EOMONTH($F$14,8)</f>
        <v>44925</v>
      </c>
      <c r="P13" s="23">
        <f>EOMONTH($F$14,9)</f>
        <v>44956</v>
      </c>
      <c r="Q13" s="24">
        <f>EOMONTH($F$14,10)</f>
        <v>44984</v>
      </c>
      <c r="R13" s="23">
        <f>EOMONTH($F$14,11)</f>
        <v>45015</v>
      </c>
      <c r="AI13" s="25"/>
      <c r="AJ13" s="18"/>
      <c r="AL13" s="5"/>
      <c r="AM13" s="5"/>
      <c r="AN13" s="5"/>
      <c r="AO13" s="5"/>
      <c r="AQ13" s="5"/>
      <c r="AR13" s="5"/>
      <c r="AS13" s="5"/>
      <c r="AT13" s="5"/>
      <c r="AV13" s="8"/>
    </row>
    <row r="14" spans="2:48" ht="37.200000000000003" thickTop="1" thickBot="1" x14ac:dyDescent="0.5">
      <c r="B14" s="79"/>
      <c r="C14" s="257" t="s">
        <v>56</v>
      </c>
      <c r="D14" s="258"/>
      <c r="E14" s="83" t="s">
        <v>84</v>
      </c>
      <c r="F14" s="84">
        <f>DATE(B1,4,1)</f>
        <v>44651</v>
      </c>
      <c r="G14" s="85" t="s">
        <v>60</v>
      </c>
      <c r="H14" s="85" t="s">
        <v>61</v>
      </c>
      <c r="I14" s="85" t="s">
        <v>62</v>
      </c>
      <c r="J14" s="85" t="s">
        <v>63</v>
      </c>
      <c r="K14" s="85" t="s">
        <v>64</v>
      </c>
      <c r="L14" s="85" t="s">
        <v>65</v>
      </c>
      <c r="M14" s="85" t="s">
        <v>66</v>
      </c>
      <c r="N14" s="85" t="s">
        <v>67</v>
      </c>
      <c r="O14" s="85" t="s">
        <v>68</v>
      </c>
      <c r="P14" s="85" t="s">
        <v>69</v>
      </c>
      <c r="Q14" s="85" t="s">
        <v>70</v>
      </c>
      <c r="R14" s="86" t="s">
        <v>71</v>
      </c>
      <c r="S14" s="82" t="s">
        <v>89</v>
      </c>
      <c r="T14" s="319" t="s">
        <v>74</v>
      </c>
      <c r="U14" s="320"/>
      <c r="V14" s="81" t="s">
        <v>83</v>
      </c>
      <c r="W14" s="63"/>
      <c r="X14" s="31"/>
    </row>
    <row r="15" spans="2:48" ht="29.25" customHeight="1" thickTop="1" x14ac:dyDescent="0.45">
      <c r="B15" s="287" t="s">
        <v>13</v>
      </c>
      <c r="C15" s="288"/>
      <c r="D15" s="289"/>
      <c r="E15" s="292"/>
      <c r="F15" s="117"/>
      <c r="G15" s="117"/>
      <c r="H15" s="117"/>
      <c r="I15" s="117"/>
      <c r="J15" s="117"/>
      <c r="K15" s="117"/>
      <c r="L15" s="117"/>
      <c r="M15" s="117"/>
      <c r="N15" s="117"/>
      <c r="O15" s="117"/>
      <c r="P15" s="117"/>
      <c r="Q15" s="117"/>
      <c r="R15" s="117"/>
      <c r="S15" s="118"/>
      <c r="T15" s="293"/>
      <c r="U15" s="294"/>
      <c r="V15" s="89">
        <f>COUNTIF(G15:R15,"国保")+COUNTIF(G15:R15,"後期")+COUNTIF(G15:R15,"社保")</f>
        <v>0</v>
      </c>
      <c r="W15" s="64"/>
      <c r="X15" s="20"/>
    </row>
    <row r="16" spans="2:48" ht="29.25" customHeight="1" x14ac:dyDescent="0.45">
      <c r="B16" s="259"/>
      <c r="C16" s="290"/>
      <c r="D16" s="291"/>
      <c r="E16" s="264"/>
      <c r="F16" s="120"/>
      <c r="G16" s="121" t="str">
        <f>IF(G15="","",IF(AND(G$13&gt;=$AM$49,G$13&lt;$AN$49),"○",""))</f>
        <v/>
      </c>
      <c r="H16" s="121" t="str">
        <f t="shared" ref="H16:R16" si="0">IF(H15="","",IF(AND(H$13&gt;=$AM$49,H$13&lt;$AN$49),"○",""))</f>
        <v/>
      </c>
      <c r="I16" s="121" t="str">
        <f t="shared" si="0"/>
        <v/>
      </c>
      <c r="J16" s="121" t="str">
        <f t="shared" si="0"/>
        <v/>
      </c>
      <c r="K16" s="121" t="str">
        <f t="shared" si="0"/>
        <v/>
      </c>
      <c r="L16" s="121" t="str">
        <f t="shared" si="0"/>
        <v/>
      </c>
      <c r="M16" s="121" t="str">
        <f t="shared" si="0"/>
        <v/>
      </c>
      <c r="N16" s="121" t="str">
        <f t="shared" si="0"/>
        <v/>
      </c>
      <c r="O16" s="121" t="str">
        <f t="shared" si="0"/>
        <v/>
      </c>
      <c r="P16" s="121" t="str">
        <f t="shared" si="0"/>
        <v/>
      </c>
      <c r="Q16" s="121" t="str">
        <f t="shared" si="0"/>
        <v/>
      </c>
      <c r="R16" s="121" t="str">
        <f t="shared" si="0"/>
        <v/>
      </c>
      <c r="S16" s="122"/>
      <c r="T16" s="123"/>
      <c r="U16" s="124"/>
      <c r="V16" s="94">
        <f>COUNTIF(G16:R16,"○")</f>
        <v>0</v>
      </c>
      <c r="W16" s="64"/>
      <c r="X16" s="20"/>
    </row>
    <row r="17" spans="2:24" ht="29.25" customHeight="1" x14ac:dyDescent="0.45">
      <c r="B17" s="259"/>
      <c r="C17" s="290"/>
      <c r="D17" s="291"/>
      <c r="E17" s="264"/>
      <c r="F17" s="119" t="str">
        <f>IF(F15="","",IF(F15="国保","被保","特定"))</f>
        <v/>
      </c>
      <c r="G17" s="119" t="str">
        <f>IF(G15="","",IF(G15="国保","被保","特定"))</f>
        <v/>
      </c>
      <c r="H17" s="119" t="str">
        <f t="shared" ref="H17:R17" si="1">IF(H15="","",IF(H15="国保","被保","特定"))</f>
        <v/>
      </c>
      <c r="I17" s="119" t="str">
        <f t="shared" si="1"/>
        <v/>
      </c>
      <c r="J17" s="119" t="str">
        <f t="shared" si="1"/>
        <v/>
      </c>
      <c r="K17" s="119" t="str">
        <f t="shared" si="1"/>
        <v/>
      </c>
      <c r="L17" s="119" t="str">
        <f t="shared" si="1"/>
        <v/>
      </c>
      <c r="M17" s="119" t="str">
        <f t="shared" si="1"/>
        <v/>
      </c>
      <c r="N17" s="119" t="str">
        <f t="shared" si="1"/>
        <v/>
      </c>
      <c r="O17" s="119" t="str">
        <f t="shared" si="1"/>
        <v/>
      </c>
      <c r="P17" s="119" t="str">
        <f t="shared" si="1"/>
        <v/>
      </c>
      <c r="Q17" s="119" t="str">
        <f t="shared" si="1"/>
        <v/>
      </c>
      <c r="R17" s="119" t="str">
        <f t="shared" si="1"/>
        <v/>
      </c>
      <c r="S17" s="125">
        <f>COUNTIF(G17:R17,"普主")</f>
        <v>0</v>
      </c>
      <c r="T17" s="123"/>
      <c r="U17" s="124"/>
      <c r="V17" s="94" t="str">
        <f>IF(COUNTIF(G15:R15,"国保")&gt;=1,"被保険者","")</f>
        <v/>
      </c>
      <c r="W17" s="64"/>
      <c r="X17" s="20"/>
    </row>
    <row r="18" spans="2:24" ht="29.25" customHeight="1" x14ac:dyDescent="0.45">
      <c r="B18" s="259" t="s">
        <v>14</v>
      </c>
      <c r="C18" s="260"/>
      <c r="D18" s="261"/>
      <c r="E18" s="264"/>
      <c r="F18" s="121"/>
      <c r="G18" s="121"/>
      <c r="H18" s="121"/>
      <c r="I18" s="121"/>
      <c r="J18" s="121"/>
      <c r="K18" s="121"/>
      <c r="L18" s="121"/>
      <c r="M18" s="121"/>
      <c r="N18" s="121"/>
      <c r="O18" s="121"/>
      <c r="P18" s="121"/>
      <c r="Q18" s="121"/>
      <c r="R18" s="121"/>
      <c r="S18" s="126"/>
      <c r="T18" s="282"/>
      <c r="U18" s="283"/>
      <c r="V18" s="100">
        <f>COUNTIF(G18:R18,"国保")+COUNTIF(G18:R18,"後期")</f>
        <v>0</v>
      </c>
      <c r="W18" s="64"/>
      <c r="X18" s="20"/>
    </row>
    <row r="19" spans="2:24" ht="29.25" customHeight="1" x14ac:dyDescent="0.45">
      <c r="B19" s="259"/>
      <c r="C19" s="260"/>
      <c r="D19" s="261"/>
      <c r="E19" s="264"/>
      <c r="F19" s="120"/>
      <c r="G19" s="121" t="str">
        <f>IF(G18="","",IF(AND(G$13&gt;=$AM$50,G$13&lt;$AN$50),"○",""))</f>
        <v/>
      </c>
      <c r="H19" s="121" t="str">
        <f>IF(H18="","",IF(AND(H$13&gt;=$AM$50,H$13&lt;$AN$50),"○",""))</f>
        <v/>
      </c>
      <c r="I19" s="121" t="str">
        <f t="shared" ref="I19:R19" si="2">IF(I18="","",IF(AND(I$13&gt;=$AM$50,I$13&lt;$AN$50),"○",""))</f>
        <v/>
      </c>
      <c r="J19" s="121" t="str">
        <f t="shared" si="2"/>
        <v/>
      </c>
      <c r="K19" s="121" t="str">
        <f t="shared" si="2"/>
        <v/>
      </c>
      <c r="L19" s="121" t="str">
        <f t="shared" si="2"/>
        <v/>
      </c>
      <c r="M19" s="121" t="str">
        <f t="shared" si="2"/>
        <v/>
      </c>
      <c r="N19" s="121" t="str">
        <f t="shared" si="2"/>
        <v/>
      </c>
      <c r="O19" s="121" t="str">
        <f t="shared" si="2"/>
        <v/>
      </c>
      <c r="P19" s="121" t="str">
        <f t="shared" si="2"/>
        <v/>
      </c>
      <c r="Q19" s="121" t="str">
        <f t="shared" si="2"/>
        <v/>
      </c>
      <c r="R19" s="121" t="str">
        <f t="shared" si="2"/>
        <v/>
      </c>
      <c r="S19" s="125"/>
      <c r="T19" s="123"/>
      <c r="U19" s="124"/>
      <c r="V19" s="100">
        <f>COUNTIF(G19:R19,"○")</f>
        <v>0</v>
      </c>
      <c r="W19" s="64"/>
      <c r="X19" s="20"/>
    </row>
    <row r="20" spans="2:24" ht="29.25" customHeight="1" x14ac:dyDescent="0.45">
      <c r="B20" s="259"/>
      <c r="C20" s="260"/>
      <c r="D20" s="261"/>
      <c r="E20" s="264"/>
      <c r="F20" s="119" t="str">
        <f>IF(F18="","",IF(F18="国保","被保","特定"))</f>
        <v/>
      </c>
      <c r="G20" s="119" t="str">
        <f>IF(G18="","",IF(G18="国保","被保","特定"))</f>
        <v/>
      </c>
      <c r="H20" s="119" t="str">
        <f t="shared" ref="H20:R20" si="3">IF(H18="","",IF(H18="国保","被保","特定"))</f>
        <v/>
      </c>
      <c r="I20" s="119" t="str">
        <f t="shared" si="3"/>
        <v/>
      </c>
      <c r="J20" s="119" t="str">
        <f t="shared" si="3"/>
        <v/>
      </c>
      <c r="K20" s="119" t="str">
        <f t="shared" si="3"/>
        <v/>
      </c>
      <c r="L20" s="119" t="str">
        <f t="shared" si="3"/>
        <v/>
      </c>
      <c r="M20" s="119" t="str">
        <f t="shared" si="3"/>
        <v/>
      </c>
      <c r="N20" s="119" t="str">
        <f t="shared" si="3"/>
        <v/>
      </c>
      <c r="O20" s="119" t="str">
        <f t="shared" si="3"/>
        <v/>
      </c>
      <c r="P20" s="119" t="str">
        <f t="shared" si="3"/>
        <v/>
      </c>
      <c r="Q20" s="119" t="str">
        <f t="shared" si="3"/>
        <v/>
      </c>
      <c r="R20" s="119" t="str">
        <f t="shared" si="3"/>
        <v/>
      </c>
      <c r="S20" s="125">
        <f>COUNTIF(G20:R20,"被保")</f>
        <v>0</v>
      </c>
      <c r="T20" s="123"/>
      <c r="U20" s="124"/>
      <c r="V20" s="100" t="str">
        <f>IF(COUNTIF(G18:R18,"国保")&gt;=1,"被保険者","")</f>
        <v/>
      </c>
      <c r="W20" s="64"/>
      <c r="X20" s="20"/>
    </row>
    <row r="21" spans="2:24" ht="29.25" customHeight="1" x14ac:dyDescent="0.45">
      <c r="B21" s="259" t="s">
        <v>15</v>
      </c>
      <c r="C21" s="260"/>
      <c r="D21" s="261"/>
      <c r="E21" s="264"/>
      <c r="F21" s="121"/>
      <c r="G21" s="121"/>
      <c r="H21" s="121"/>
      <c r="I21" s="121"/>
      <c r="J21" s="121"/>
      <c r="K21" s="121"/>
      <c r="L21" s="121"/>
      <c r="M21" s="121"/>
      <c r="N21" s="121"/>
      <c r="O21" s="121"/>
      <c r="P21" s="121"/>
      <c r="Q21" s="121"/>
      <c r="R21" s="121"/>
      <c r="S21" s="126"/>
      <c r="T21" s="282"/>
      <c r="U21" s="283"/>
      <c r="V21" s="100">
        <f>COUNTIF(G21:R21,"国保")+COUNTIF(G21:R21,"後期")</f>
        <v>0</v>
      </c>
      <c r="W21" s="64"/>
      <c r="X21" s="20"/>
    </row>
    <row r="22" spans="2:24" ht="29.25" customHeight="1" x14ac:dyDescent="0.45">
      <c r="B22" s="259"/>
      <c r="C22" s="260"/>
      <c r="D22" s="261"/>
      <c r="E22" s="264"/>
      <c r="F22" s="120"/>
      <c r="G22" s="121" t="str">
        <f>IF(G21="","",IF(AND(G$13&gt;=$AM$51,G$13&lt;$AN$51),"○",""))</f>
        <v/>
      </c>
      <c r="H22" s="121" t="str">
        <f t="shared" ref="H22:R22" si="4">IF(H21="","",IF(AND(H$13&gt;=$AM$51,H$13&lt;$AN$51),"○",""))</f>
        <v/>
      </c>
      <c r="I22" s="121" t="str">
        <f t="shared" si="4"/>
        <v/>
      </c>
      <c r="J22" s="121" t="str">
        <f t="shared" si="4"/>
        <v/>
      </c>
      <c r="K22" s="121" t="str">
        <f>IF(K21="","",IF(AND(K$13&gt;=$AM$51,K$13&lt;$AN$51),"○",""))</f>
        <v/>
      </c>
      <c r="L22" s="121" t="str">
        <f t="shared" si="4"/>
        <v/>
      </c>
      <c r="M22" s="121" t="str">
        <f t="shared" si="4"/>
        <v/>
      </c>
      <c r="N22" s="121" t="str">
        <f t="shared" si="4"/>
        <v/>
      </c>
      <c r="O22" s="121" t="str">
        <f t="shared" si="4"/>
        <v/>
      </c>
      <c r="P22" s="121" t="str">
        <f t="shared" si="4"/>
        <v/>
      </c>
      <c r="Q22" s="121" t="str">
        <f t="shared" si="4"/>
        <v/>
      </c>
      <c r="R22" s="121" t="str">
        <f t="shared" si="4"/>
        <v/>
      </c>
      <c r="S22" s="125"/>
      <c r="T22" s="123"/>
      <c r="U22" s="124"/>
      <c r="V22" s="100">
        <f>COUNTIF(G22:R22,"○")</f>
        <v>0</v>
      </c>
      <c r="W22" s="64"/>
      <c r="X22" s="20"/>
    </row>
    <row r="23" spans="2:24" ht="29.25" customHeight="1" x14ac:dyDescent="0.45">
      <c r="B23" s="259"/>
      <c r="C23" s="260"/>
      <c r="D23" s="261"/>
      <c r="E23" s="264"/>
      <c r="F23" s="119" t="str">
        <f>IF(F21="","",IF(F21="国保","被保","特定"))</f>
        <v/>
      </c>
      <c r="G23" s="119" t="str">
        <f>IF(G21="","",IF(G21="国保","被保","特定"))</f>
        <v/>
      </c>
      <c r="H23" s="119" t="str">
        <f t="shared" ref="H23:R23" si="5">IF(H21="","",IF(H21="国保","被保","特定"))</f>
        <v/>
      </c>
      <c r="I23" s="119" t="str">
        <f t="shared" si="5"/>
        <v/>
      </c>
      <c r="J23" s="119" t="str">
        <f t="shared" si="5"/>
        <v/>
      </c>
      <c r="K23" s="119" t="str">
        <f t="shared" si="5"/>
        <v/>
      </c>
      <c r="L23" s="119" t="str">
        <f t="shared" si="5"/>
        <v/>
      </c>
      <c r="M23" s="119" t="str">
        <f t="shared" si="5"/>
        <v/>
      </c>
      <c r="N23" s="119" t="str">
        <f t="shared" si="5"/>
        <v/>
      </c>
      <c r="O23" s="119" t="str">
        <f t="shared" si="5"/>
        <v/>
      </c>
      <c r="P23" s="119" t="str">
        <f t="shared" si="5"/>
        <v/>
      </c>
      <c r="Q23" s="119" t="str">
        <f t="shared" si="5"/>
        <v/>
      </c>
      <c r="R23" s="119" t="str">
        <f t="shared" si="5"/>
        <v/>
      </c>
      <c r="S23" s="125">
        <f>COUNTIF(G23:R23,"被保")</f>
        <v>0</v>
      </c>
      <c r="T23" s="123"/>
      <c r="U23" s="124"/>
      <c r="V23" s="100" t="str">
        <f>IF(COUNTIF(G21:R21,"国保")&gt;=1,"被保険者","")</f>
        <v/>
      </c>
      <c r="W23" s="64"/>
      <c r="X23" s="20"/>
    </row>
    <row r="24" spans="2:24" ht="29.25" customHeight="1" x14ac:dyDescent="0.45">
      <c r="B24" s="259" t="s">
        <v>16</v>
      </c>
      <c r="C24" s="260"/>
      <c r="D24" s="261"/>
      <c r="E24" s="264"/>
      <c r="F24" s="121"/>
      <c r="G24" s="121"/>
      <c r="H24" s="121"/>
      <c r="I24" s="121"/>
      <c r="J24" s="121"/>
      <c r="K24" s="121"/>
      <c r="L24" s="121"/>
      <c r="M24" s="121"/>
      <c r="N24" s="121"/>
      <c r="O24" s="121"/>
      <c r="P24" s="121"/>
      <c r="Q24" s="121"/>
      <c r="R24" s="121"/>
      <c r="S24" s="126"/>
      <c r="T24" s="282"/>
      <c r="U24" s="283"/>
      <c r="V24" s="100">
        <f>COUNTIF(G24:R24,"国保")+COUNTIF(G24:R24,"後期")</f>
        <v>0</v>
      </c>
      <c r="W24" s="64"/>
      <c r="X24" s="20"/>
    </row>
    <row r="25" spans="2:24" ht="29.25" customHeight="1" x14ac:dyDescent="0.45">
      <c r="B25" s="259"/>
      <c r="C25" s="260"/>
      <c r="D25" s="261"/>
      <c r="E25" s="264"/>
      <c r="F25" s="120"/>
      <c r="G25" s="121" t="str">
        <f>IF(G24="","",IF(AND(G$13&gt;=$AM$52,G$13&lt;$AN$52),"○",""))</f>
        <v/>
      </c>
      <c r="H25" s="121" t="str">
        <f t="shared" ref="H25:Q25" si="6">IF(H24="","",IF(AND(H$13&gt;=$AM$52,H$13&lt;$AN$52),"○",""))</f>
        <v/>
      </c>
      <c r="I25" s="121" t="str">
        <f t="shared" si="6"/>
        <v/>
      </c>
      <c r="J25" s="121" t="str">
        <f t="shared" si="6"/>
        <v/>
      </c>
      <c r="K25" s="121" t="str">
        <f t="shared" si="6"/>
        <v/>
      </c>
      <c r="L25" s="121" t="str">
        <f t="shared" si="6"/>
        <v/>
      </c>
      <c r="M25" s="121" t="str">
        <f t="shared" si="6"/>
        <v/>
      </c>
      <c r="N25" s="121" t="str">
        <f t="shared" si="6"/>
        <v/>
      </c>
      <c r="O25" s="121" t="str">
        <f t="shared" si="6"/>
        <v/>
      </c>
      <c r="P25" s="121" t="str">
        <f t="shared" si="6"/>
        <v/>
      </c>
      <c r="Q25" s="121" t="str">
        <f t="shared" si="6"/>
        <v/>
      </c>
      <c r="R25" s="121" t="str">
        <f>IF(R24="","",IF(AND(R$13&gt;=$AM$52,R$13&lt;$AN$52),"○",""))</f>
        <v/>
      </c>
      <c r="S25" s="125"/>
      <c r="T25" s="123"/>
      <c r="U25" s="124"/>
      <c r="V25" s="100">
        <f>COUNTIF(G25:R25,"○")</f>
        <v>0</v>
      </c>
      <c r="W25" s="64"/>
      <c r="X25" s="20"/>
    </row>
    <row r="26" spans="2:24" ht="29.25" customHeight="1" x14ac:dyDescent="0.45">
      <c r="B26" s="259"/>
      <c r="C26" s="260"/>
      <c r="D26" s="261"/>
      <c r="E26" s="264"/>
      <c r="F26" s="119" t="str">
        <f>IF(F24="","",IF(F24="国保","被保","特定"))</f>
        <v/>
      </c>
      <c r="G26" s="119" t="str">
        <f>IF(G24="","",IF(G24="国保","被保","特定"))</f>
        <v/>
      </c>
      <c r="H26" s="119" t="str">
        <f t="shared" ref="H26:R26" si="7">IF(H24="","",IF(H24="国保","被保","特定"))</f>
        <v/>
      </c>
      <c r="I26" s="119" t="str">
        <f t="shared" si="7"/>
        <v/>
      </c>
      <c r="J26" s="119" t="str">
        <f t="shared" si="7"/>
        <v/>
      </c>
      <c r="K26" s="119" t="str">
        <f t="shared" si="7"/>
        <v/>
      </c>
      <c r="L26" s="119" t="str">
        <f t="shared" si="7"/>
        <v/>
      </c>
      <c r="M26" s="119" t="str">
        <f t="shared" si="7"/>
        <v/>
      </c>
      <c r="N26" s="119" t="str">
        <f t="shared" si="7"/>
        <v/>
      </c>
      <c r="O26" s="119" t="str">
        <f t="shared" si="7"/>
        <v/>
      </c>
      <c r="P26" s="119" t="str">
        <f t="shared" si="7"/>
        <v/>
      </c>
      <c r="Q26" s="119" t="str">
        <f t="shared" si="7"/>
        <v/>
      </c>
      <c r="R26" s="119" t="str">
        <f t="shared" si="7"/>
        <v/>
      </c>
      <c r="S26" s="125">
        <f>COUNTIF(G26:R26,"被保")</f>
        <v>0</v>
      </c>
      <c r="T26" s="123"/>
      <c r="U26" s="124"/>
      <c r="V26" s="100" t="str">
        <f>IF(COUNTIF(G24:R24,"国保")&gt;=1,"被保険者","")</f>
        <v/>
      </c>
      <c r="W26" s="64"/>
      <c r="X26" s="20"/>
    </row>
    <row r="27" spans="2:24" ht="29.25" customHeight="1" x14ac:dyDescent="0.45">
      <c r="B27" s="259" t="s">
        <v>17</v>
      </c>
      <c r="C27" s="260"/>
      <c r="D27" s="261"/>
      <c r="E27" s="264"/>
      <c r="F27" s="121"/>
      <c r="G27" s="121"/>
      <c r="H27" s="121"/>
      <c r="I27" s="121"/>
      <c r="J27" s="121"/>
      <c r="K27" s="121"/>
      <c r="L27" s="121"/>
      <c r="M27" s="121"/>
      <c r="N27" s="121"/>
      <c r="O27" s="121"/>
      <c r="P27" s="121"/>
      <c r="Q27" s="121"/>
      <c r="R27" s="127"/>
      <c r="S27" s="126"/>
      <c r="T27" s="282"/>
      <c r="U27" s="283"/>
      <c r="V27" s="100">
        <f>COUNTIF(G27:R27,"国保")+COUNTIF(G27:R27,"後期")</f>
        <v>0</v>
      </c>
      <c r="W27" s="64"/>
      <c r="X27" s="20"/>
    </row>
    <row r="28" spans="2:24" ht="29.25" customHeight="1" x14ac:dyDescent="0.45">
      <c r="B28" s="259"/>
      <c r="C28" s="260"/>
      <c r="D28" s="261"/>
      <c r="E28" s="264"/>
      <c r="F28" s="128"/>
      <c r="G28" s="129" t="str">
        <f>IF(G27="","",IF(AND(G$13&gt;=$AM$53,G$13&lt;$AN$53),"○",""))</f>
        <v/>
      </c>
      <c r="H28" s="129" t="str">
        <f t="shared" ref="H28:R28" si="8">IF(H27="","",IF(AND(H$13&gt;=$AM$53,H$13&lt;$AN$53),"○",""))</f>
        <v/>
      </c>
      <c r="I28" s="129" t="str">
        <f t="shared" si="8"/>
        <v/>
      </c>
      <c r="J28" s="129" t="str">
        <f t="shared" si="8"/>
        <v/>
      </c>
      <c r="K28" s="129" t="str">
        <f t="shared" si="8"/>
        <v/>
      </c>
      <c r="L28" s="129" t="str">
        <f t="shared" si="8"/>
        <v/>
      </c>
      <c r="M28" s="129" t="str">
        <f t="shared" si="8"/>
        <v/>
      </c>
      <c r="N28" s="129" t="str">
        <f t="shared" si="8"/>
        <v/>
      </c>
      <c r="O28" s="129" t="str">
        <f t="shared" si="8"/>
        <v/>
      </c>
      <c r="P28" s="129" t="str">
        <f t="shared" si="8"/>
        <v/>
      </c>
      <c r="Q28" s="129" t="str">
        <f t="shared" si="8"/>
        <v/>
      </c>
      <c r="R28" s="129" t="str">
        <f t="shared" si="8"/>
        <v/>
      </c>
      <c r="S28" s="125"/>
      <c r="T28" s="123"/>
      <c r="U28" s="124"/>
      <c r="V28" s="100">
        <f>COUNTIF(G28:R28,"○")</f>
        <v>0</v>
      </c>
      <c r="W28" s="64"/>
      <c r="X28" s="20"/>
    </row>
    <row r="29" spans="2:24" ht="29.25" customHeight="1" x14ac:dyDescent="0.45">
      <c r="B29" s="259"/>
      <c r="C29" s="260"/>
      <c r="D29" s="261"/>
      <c r="E29" s="264"/>
      <c r="F29" s="130" t="str">
        <f>IF(F27="","",IF(F27="国保","被保","特定"))</f>
        <v/>
      </c>
      <c r="G29" s="130" t="str">
        <f>IF(G27="","",IF(G27="国保","被保","特定"))</f>
        <v/>
      </c>
      <c r="H29" s="130" t="str">
        <f t="shared" ref="H29:R29" si="9">IF(H27="","",IF(H27="国保","被保","特定"))</f>
        <v/>
      </c>
      <c r="I29" s="130" t="str">
        <f t="shared" si="9"/>
        <v/>
      </c>
      <c r="J29" s="130" t="str">
        <f t="shared" si="9"/>
        <v/>
      </c>
      <c r="K29" s="130" t="str">
        <f t="shared" si="9"/>
        <v/>
      </c>
      <c r="L29" s="130" t="str">
        <f t="shared" si="9"/>
        <v/>
      </c>
      <c r="M29" s="130" t="str">
        <f t="shared" si="9"/>
        <v/>
      </c>
      <c r="N29" s="130" t="str">
        <f t="shared" si="9"/>
        <v/>
      </c>
      <c r="O29" s="130" t="str">
        <f t="shared" si="9"/>
        <v/>
      </c>
      <c r="P29" s="130" t="str">
        <f t="shared" si="9"/>
        <v/>
      </c>
      <c r="Q29" s="130" t="str">
        <f t="shared" si="9"/>
        <v/>
      </c>
      <c r="R29" s="130" t="str">
        <f t="shared" si="9"/>
        <v/>
      </c>
      <c r="S29" s="125">
        <f>COUNTIF(G29:R29,"被保")</f>
        <v>0</v>
      </c>
      <c r="T29" s="123"/>
      <c r="U29" s="124"/>
      <c r="V29" s="100" t="str">
        <f>IF(COUNTIF(G27:R27,"国保")&gt;=1,"被保険者","")</f>
        <v/>
      </c>
      <c r="W29" s="64"/>
      <c r="X29" s="20"/>
    </row>
    <row r="30" spans="2:24" ht="29.25" customHeight="1" x14ac:dyDescent="0.45">
      <c r="B30" s="259" t="s">
        <v>18</v>
      </c>
      <c r="C30" s="260"/>
      <c r="D30" s="261"/>
      <c r="E30" s="264"/>
      <c r="F30" s="121"/>
      <c r="G30" s="129"/>
      <c r="H30" s="129"/>
      <c r="I30" s="129"/>
      <c r="J30" s="129"/>
      <c r="K30" s="129"/>
      <c r="L30" s="129"/>
      <c r="M30" s="129"/>
      <c r="N30" s="129"/>
      <c r="O30" s="129"/>
      <c r="P30" s="129"/>
      <c r="Q30" s="129"/>
      <c r="R30" s="129"/>
      <c r="S30" s="126"/>
      <c r="T30" s="282"/>
      <c r="U30" s="283"/>
      <c r="V30" s="100">
        <f>COUNTIF(G30:R30,"国保")+COUNTIF(G30:R30,"後期")</f>
        <v>0</v>
      </c>
      <c r="W30" s="64"/>
      <c r="X30" s="20"/>
    </row>
    <row r="31" spans="2:24" ht="29.25" customHeight="1" x14ac:dyDescent="0.45">
      <c r="B31" s="259"/>
      <c r="C31" s="260"/>
      <c r="D31" s="261"/>
      <c r="E31" s="264"/>
      <c r="F31" s="128"/>
      <c r="G31" s="129" t="str">
        <f>IF(G30="","",IF(AND(G13&gt;=$AM$54,G13&lt;$AN$54),"○",""))</f>
        <v/>
      </c>
      <c r="H31" s="129" t="str">
        <f t="shared" ref="H31:R31" si="10">IF(H30="","",IF(AND(H13&gt;=$AM$54,H13&lt;$AN$54),"○",""))</f>
        <v/>
      </c>
      <c r="I31" s="129" t="str">
        <f t="shared" si="10"/>
        <v/>
      </c>
      <c r="J31" s="129" t="str">
        <f t="shared" si="10"/>
        <v/>
      </c>
      <c r="K31" s="129" t="str">
        <f t="shared" si="10"/>
        <v/>
      </c>
      <c r="L31" s="129" t="str">
        <f t="shared" si="10"/>
        <v/>
      </c>
      <c r="M31" s="129" t="str">
        <f t="shared" si="10"/>
        <v/>
      </c>
      <c r="N31" s="129" t="str">
        <f t="shared" si="10"/>
        <v/>
      </c>
      <c r="O31" s="129" t="str">
        <f t="shared" si="10"/>
        <v/>
      </c>
      <c r="P31" s="129" t="str">
        <f t="shared" si="10"/>
        <v/>
      </c>
      <c r="Q31" s="129" t="str">
        <f t="shared" si="10"/>
        <v/>
      </c>
      <c r="R31" s="129" t="str">
        <f t="shared" si="10"/>
        <v/>
      </c>
      <c r="S31" s="125"/>
      <c r="T31" s="123"/>
      <c r="U31" s="124"/>
      <c r="V31" s="100">
        <f>COUNTIF(G31:R31,"○")</f>
        <v>0</v>
      </c>
      <c r="W31" s="64"/>
      <c r="X31" s="20"/>
    </row>
    <row r="32" spans="2:24" ht="29.25" customHeight="1" x14ac:dyDescent="0.45">
      <c r="B32" s="259"/>
      <c r="C32" s="260"/>
      <c r="D32" s="261"/>
      <c r="E32" s="264"/>
      <c r="F32" s="130" t="str">
        <f t="shared" ref="F32:R41" si="11">IF(F30="","",IF(F30="国保","被保","特定"))</f>
        <v/>
      </c>
      <c r="G32" s="130" t="str">
        <f t="shared" si="11"/>
        <v/>
      </c>
      <c r="H32" s="130" t="str">
        <f t="shared" si="11"/>
        <v/>
      </c>
      <c r="I32" s="130" t="str">
        <f t="shared" si="11"/>
        <v/>
      </c>
      <c r="J32" s="130" t="str">
        <f t="shared" si="11"/>
        <v/>
      </c>
      <c r="K32" s="130" t="str">
        <f t="shared" si="11"/>
        <v/>
      </c>
      <c r="L32" s="130" t="str">
        <f t="shared" si="11"/>
        <v/>
      </c>
      <c r="M32" s="130" t="str">
        <f t="shared" si="11"/>
        <v/>
      </c>
      <c r="N32" s="130" t="str">
        <f t="shared" si="11"/>
        <v/>
      </c>
      <c r="O32" s="130" t="str">
        <f t="shared" si="11"/>
        <v/>
      </c>
      <c r="P32" s="130" t="str">
        <f t="shared" si="11"/>
        <v/>
      </c>
      <c r="Q32" s="130" t="str">
        <f t="shared" si="11"/>
        <v/>
      </c>
      <c r="R32" s="130" t="str">
        <f t="shared" si="11"/>
        <v/>
      </c>
      <c r="S32" s="125">
        <f>COUNTIF(G32:R32,"被保")</f>
        <v>0</v>
      </c>
      <c r="T32" s="123"/>
      <c r="U32" s="124"/>
      <c r="V32" s="100" t="str">
        <f>IF(COUNTIF(G30:R30,"国保")&gt;=1,"被保険者","")</f>
        <v/>
      </c>
      <c r="W32" s="64"/>
      <c r="X32" s="20"/>
    </row>
    <row r="33" spans="1:58" ht="29.25" customHeight="1" x14ac:dyDescent="0.45">
      <c r="B33" s="259" t="s">
        <v>19</v>
      </c>
      <c r="C33" s="260"/>
      <c r="D33" s="261"/>
      <c r="E33" s="264"/>
      <c r="F33" s="121"/>
      <c r="G33" s="129"/>
      <c r="H33" s="129"/>
      <c r="I33" s="129"/>
      <c r="J33" s="129"/>
      <c r="K33" s="129"/>
      <c r="L33" s="129"/>
      <c r="M33" s="129"/>
      <c r="N33" s="129"/>
      <c r="O33" s="129"/>
      <c r="P33" s="129"/>
      <c r="Q33" s="129"/>
      <c r="R33" s="129"/>
      <c r="S33" s="126"/>
      <c r="T33" s="282"/>
      <c r="U33" s="283"/>
      <c r="V33" s="100">
        <f>COUNTIF(G33:R33,"国保")+COUNTIF(G33:R33,"後期")</f>
        <v>0</v>
      </c>
      <c r="W33" s="64"/>
      <c r="X33" s="20"/>
    </row>
    <row r="34" spans="1:58" ht="29.25" customHeight="1" x14ac:dyDescent="0.45">
      <c r="B34" s="259"/>
      <c r="C34" s="260"/>
      <c r="D34" s="261"/>
      <c r="E34" s="264"/>
      <c r="F34" s="128"/>
      <c r="G34" s="129" t="str">
        <f>IF(G33="","",IF(AND(G13&gt;=$AM$55,G13&lt;$AN$55),"○",""))</f>
        <v/>
      </c>
      <c r="H34" s="129" t="str">
        <f t="shared" ref="H34:R34" si="12">IF(H33="","",IF(AND(H13&gt;=$AM$55,H13&lt;$AN$55),"○",""))</f>
        <v/>
      </c>
      <c r="I34" s="129" t="str">
        <f t="shared" si="12"/>
        <v/>
      </c>
      <c r="J34" s="129" t="str">
        <f t="shared" si="12"/>
        <v/>
      </c>
      <c r="K34" s="129" t="str">
        <f t="shared" si="12"/>
        <v/>
      </c>
      <c r="L34" s="129" t="str">
        <f t="shared" si="12"/>
        <v/>
      </c>
      <c r="M34" s="129" t="str">
        <f t="shared" si="12"/>
        <v/>
      </c>
      <c r="N34" s="129" t="str">
        <f t="shared" si="12"/>
        <v/>
      </c>
      <c r="O34" s="129" t="str">
        <f t="shared" si="12"/>
        <v/>
      </c>
      <c r="P34" s="129" t="str">
        <f t="shared" si="12"/>
        <v/>
      </c>
      <c r="Q34" s="129" t="str">
        <f t="shared" si="12"/>
        <v/>
      </c>
      <c r="R34" s="129" t="str">
        <f t="shared" si="12"/>
        <v/>
      </c>
      <c r="S34" s="125"/>
      <c r="T34" s="123"/>
      <c r="U34" s="124"/>
      <c r="V34" s="100">
        <f>COUNTIF(G34:R34,"○")</f>
        <v>0</v>
      </c>
      <c r="W34" s="64"/>
      <c r="X34" s="20"/>
    </row>
    <row r="35" spans="1:58" ht="29.25" customHeight="1" x14ac:dyDescent="0.45">
      <c r="B35" s="259"/>
      <c r="C35" s="260"/>
      <c r="D35" s="261"/>
      <c r="E35" s="264"/>
      <c r="F35" s="130" t="str">
        <f t="shared" si="11"/>
        <v/>
      </c>
      <c r="G35" s="130" t="str">
        <f t="shared" si="11"/>
        <v/>
      </c>
      <c r="H35" s="130" t="str">
        <f t="shared" si="11"/>
        <v/>
      </c>
      <c r="I35" s="130" t="str">
        <f t="shared" si="11"/>
        <v/>
      </c>
      <c r="J35" s="130" t="str">
        <f t="shared" si="11"/>
        <v/>
      </c>
      <c r="K35" s="130" t="str">
        <f t="shared" si="11"/>
        <v/>
      </c>
      <c r="L35" s="130" t="str">
        <f t="shared" si="11"/>
        <v/>
      </c>
      <c r="M35" s="130" t="str">
        <f t="shared" si="11"/>
        <v/>
      </c>
      <c r="N35" s="130" t="str">
        <f t="shared" si="11"/>
        <v/>
      </c>
      <c r="O35" s="130" t="str">
        <f t="shared" si="11"/>
        <v/>
      </c>
      <c r="P35" s="130" t="str">
        <f t="shared" si="11"/>
        <v/>
      </c>
      <c r="Q35" s="130" t="str">
        <f t="shared" si="11"/>
        <v/>
      </c>
      <c r="R35" s="130" t="str">
        <f t="shared" si="11"/>
        <v/>
      </c>
      <c r="S35" s="125">
        <f>COUNTIF(G35:R35,"被保")</f>
        <v>0</v>
      </c>
      <c r="T35" s="123"/>
      <c r="U35" s="124"/>
      <c r="V35" s="100" t="str">
        <f>IF(COUNTIF(G33:R33,"国保")&gt;=1,"被保険者","")</f>
        <v/>
      </c>
      <c r="W35" s="64"/>
      <c r="X35" s="20"/>
    </row>
    <row r="36" spans="1:58" ht="29.25" customHeight="1" x14ac:dyDescent="0.45">
      <c r="B36" s="259" t="s">
        <v>20</v>
      </c>
      <c r="C36" s="260"/>
      <c r="D36" s="261"/>
      <c r="E36" s="264"/>
      <c r="F36" s="121"/>
      <c r="G36" s="129"/>
      <c r="H36" s="129"/>
      <c r="I36" s="129"/>
      <c r="J36" s="129"/>
      <c r="K36" s="129"/>
      <c r="L36" s="129"/>
      <c r="M36" s="129"/>
      <c r="N36" s="129"/>
      <c r="O36" s="129"/>
      <c r="P36" s="129"/>
      <c r="Q36" s="129"/>
      <c r="R36" s="129"/>
      <c r="S36" s="126"/>
      <c r="T36" s="282"/>
      <c r="U36" s="283"/>
      <c r="V36" s="100">
        <f>COUNTIF(G36:R36,"国保")+COUNTIF(G36:R36,"後期")</f>
        <v>0</v>
      </c>
      <c r="W36" s="64"/>
      <c r="X36" s="20"/>
    </row>
    <row r="37" spans="1:58" ht="30" customHeight="1" x14ac:dyDescent="0.45">
      <c r="B37" s="259"/>
      <c r="C37" s="260"/>
      <c r="D37" s="261"/>
      <c r="E37" s="264"/>
      <c r="F37" s="128"/>
      <c r="G37" s="129" t="str">
        <f>IF(G36="","",IF(AND(G13&gt;=$AM$56,G13&lt;$AN$56),"○",""))</f>
        <v/>
      </c>
      <c r="H37" s="129" t="str">
        <f t="shared" ref="H37:R37" si="13">IF(H36="","",IF(AND(H13&gt;=$AM$56,H13&lt;$AN$56),"○",""))</f>
        <v/>
      </c>
      <c r="I37" s="129" t="str">
        <f t="shared" si="13"/>
        <v/>
      </c>
      <c r="J37" s="129" t="str">
        <f t="shared" si="13"/>
        <v/>
      </c>
      <c r="K37" s="129" t="str">
        <f t="shared" si="13"/>
        <v/>
      </c>
      <c r="L37" s="129" t="str">
        <f t="shared" si="13"/>
        <v/>
      </c>
      <c r="M37" s="129" t="str">
        <f t="shared" si="13"/>
        <v/>
      </c>
      <c r="N37" s="129" t="str">
        <f t="shared" si="13"/>
        <v/>
      </c>
      <c r="O37" s="129" t="str">
        <f t="shared" si="13"/>
        <v/>
      </c>
      <c r="P37" s="129" t="str">
        <f t="shared" si="13"/>
        <v/>
      </c>
      <c r="Q37" s="129" t="str">
        <f t="shared" si="13"/>
        <v/>
      </c>
      <c r="R37" s="129" t="str">
        <f t="shared" si="13"/>
        <v/>
      </c>
      <c r="S37" s="131"/>
      <c r="T37" s="123"/>
      <c r="U37" s="124"/>
      <c r="V37" s="100">
        <f>COUNTIF(G37:R37,"○")</f>
        <v>0</v>
      </c>
      <c r="W37" s="64"/>
      <c r="X37" s="20"/>
    </row>
    <row r="38" spans="1:58" ht="30" customHeight="1" x14ac:dyDescent="0.45">
      <c r="B38" s="284"/>
      <c r="C38" s="260"/>
      <c r="D38" s="261"/>
      <c r="E38" s="264"/>
      <c r="F38" s="130" t="str">
        <f t="shared" si="11"/>
        <v/>
      </c>
      <c r="G38" s="130" t="str">
        <f t="shared" si="11"/>
        <v/>
      </c>
      <c r="H38" s="130" t="str">
        <f t="shared" si="11"/>
        <v/>
      </c>
      <c r="I38" s="130" t="str">
        <f t="shared" si="11"/>
        <v/>
      </c>
      <c r="J38" s="130" t="str">
        <f t="shared" si="11"/>
        <v/>
      </c>
      <c r="K38" s="130" t="str">
        <f t="shared" si="11"/>
        <v/>
      </c>
      <c r="L38" s="130" t="str">
        <f t="shared" si="11"/>
        <v/>
      </c>
      <c r="M38" s="130" t="str">
        <f t="shared" si="11"/>
        <v/>
      </c>
      <c r="N38" s="130" t="str">
        <f t="shared" si="11"/>
        <v/>
      </c>
      <c r="O38" s="130" t="str">
        <f t="shared" si="11"/>
        <v/>
      </c>
      <c r="P38" s="130" t="str">
        <f t="shared" si="11"/>
        <v/>
      </c>
      <c r="Q38" s="130" t="str">
        <f t="shared" si="11"/>
        <v/>
      </c>
      <c r="R38" s="130" t="str">
        <f t="shared" si="11"/>
        <v/>
      </c>
      <c r="S38" s="125">
        <f>COUNTIF(G38:R38,"被保")</f>
        <v>0</v>
      </c>
      <c r="T38" s="123"/>
      <c r="U38" s="124"/>
      <c r="V38" s="100" t="str">
        <f>IF(COUNTIF(G36:R36,"国保")&gt;=1,"被保険者","")</f>
        <v/>
      </c>
      <c r="W38" s="64"/>
      <c r="X38" s="20"/>
    </row>
    <row r="39" spans="1:58" ht="30" customHeight="1" x14ac:dyDescent="0.45">
      <c r="B39" s="259" t="s">
        <v>21</v>
      </c>
      <c r="C39" s="260"/>
      <c r="D39" s="261"/>
      <c r="E39" s="264"/>
      <c r="F39" s="121"/>
      <c r="G39" s="129"/>
      <c r="H39" s="129"/>
      <c r="I39" s="129"/>
      <c r="J39" s="129"/>
      <c r="K39" s="129"/>
      <c r="L39" s="129"/>
      <c r="M39" s="129"/>
      <c r="N39" s="129"/>
      <c r="O39" s="129"/>
      <c r="P39" s="129"/>
      <c r="Q39" s="129"/>
      <c r="R39" s="129"/>
      <c r="S39" s="132"/>
      <c r="T39" s="266"/>
      <c r="U39" s="267"/>
      <c r="V39" s="89">
        <f>COUNTIF(G39:R39,"国保")+COUNTIF(G39:R39,"後期")</f>
        <v>0</v>
      </c>
      <c r="W39" s="64"/>
      <c r="X39" s="20"/>
    </row>
    <row r="40" spans="1:58" ht="30" customHeight="1" x14ac:dyDescent="0.45">
      <c r="B40" s="259"/>
      <c r="C40" s="260"/>
      <c r="D40" s="261"/>
      <c r="E40" s="264"/>
      <c r="F40" s="128"/>
      <c r="G40" s="129" t="str">
        <f>IF(G39="","",IF(AND(G13&gt;=$AM$57,G13&lt;$AN$57),"○",""))</f>
        <v/>
      </c>
      <c r="H40" s="129" t="str">
        <f t="shared" ref="H40:R40" si="14">IF(H39="","",IF(AND(H37&gt;=$AM$49,H37&lt;$AN$49),"○",""))</f>
        <v/>
      </c>
      <c r="I40" s="129" t="str">
        <f t="shared" si="14"/>
        <v/>
      </c>
      <c r="J40" s="129" t="str">
        <f t="shared" si="14"/>
        <v/>
      </c>
      <c r="K40" s="129" t="str">
        <f t="shared" si="14"/>
        <v/>
      </c>
      <c r="L40" s="129" t="str">
        <f t="shared" si="14"/>
        <v/>
      </c>
      <c r="M40" s="129" t="str">
        <f t="shared" si="14"/>
        <v/>
      </c>
      <c r="N40" s="129" t="str">
        <f t="shared" si="14"/>
        <v/>
      </c>
      <c r="O40" s="129" t="str">
        <f t="shared" si="14"/>
        <v/>
      </c>
      <c r="P40" s="129" t="str">
        <f t="shared" si="14"/>
        <v/>
      </c>
      <c r="Q40" s="129" t="str">
        <f t="shared" si="14"/>
        <v/>
      </c>
      <c r="R40" s="133" t="str">
        <f t="shared" si="14"/>
        <v/>
      </c>
      <c r="S40" s="125">
        <f>COUNTIF(G40:R40,"○")</f>
        <v>0</v>
      </c>
      <c r="T40" s="134"/>
      <c r="U40" s="124"/>
      <c r="V40" s="116"/>
      <c r="W40" s="64"/>
      <c r="X40" s="20"/>
    </row>
    <row r="41" spans="1:58" ht="30" customHeight="1" thickBot="1" x14ac:dyDescent="0.5">
      <c r="B41" s="259"/>
      <c r="C41" s="262"/>
      <c r="D41" s="263"/>
      <c r="E41" s="265"/>
      <c r="F41" s="135" t="str">
        <f t="shared" si="11"/>
        <v/>
      </c>
      <c r="G41" s="135" t="str">
        <f t="shared" si="11"/>
        <v/>
      </c>
      <c r="H41" s="135" t="str">
        <f t="shared" si="11"/>
        <v/>
      </c>
      <c r="I41" s="135" t="str">
        <f t="shared" si="11"/>
        <v/>
      </c>
      <c r="J41" s="135" t="str">
        <f t="shared" si="11"/>
        <v/>
      </c>
      <c r="K41" s="135" t="str">
        <f t="shared" si="11"/>
        <v/>
      </c>
      <c r="L41" s="135" t="str">
        <f t="shared" si="11"/>
        <v/>
      </c>
      <c r="M41" s="135" t="str">
        <f t="shared" si="11"/>
        <v/>
      </c>
      <c r="N41" s="135" t="str">
        <f t="shared" si="11"/>
        <v/>
      </c>
      <c r="O41" s="135" t="str">
        <f t="shared" si="11"/>
        <v/>
      </c>
      <c r="P41" s="135" t="str">
        <f t="shared" si="11"/>
        <v/>
      </c>
      <c r="Q41" s="135" t="str">
        <f t="shared" si="11"/>
        <v/>
      </c>
      <c r="R41" s="136" t="str">
        <f t="shared" si="11"/>
        <v/>
      </c>
      <c r="S41" s="137" t="str">
        <f>IF(COUNTIF(G39:R39,"国保")&gt;=1,"被保険者","")</f>
        <v/>
      </c>
      <c r="T41" s="138">
        <f>COUNTIF(G41:R41,"被保")</f>
        <v>0</v>
      </c>
      <c r="U41" s="139"/>
      <c r="V41" s="116"/>
      <c r="W41" s="64"/>
      <c r="X41" s="20"/>
    </row>
    <row r="42" spans="1:58" ht="30" customHeight="1" thickTop="1" x14ac:dyDescent="0.45">
      <c r="A42" s="67"/>
      <c r="B42" s="69"/>
      <c r="C42" s="268" t="s">
        <v>88</v>
      </c>
      <c r="D42" s="269"/>
      <c r="E42" s="270"/>
      <c r="F42" s="105">
        <f>COUNTIF(F15:F41,"普主")+COUNTIF(F15:F41,"特擬")+COUNTIF(F15:F41,"被保")+COUNTIF(F15:F41,"特定")</f>
        <v>0</v>
      </c>
      <c r="G42" s="106">
        <f t="shared" ref="G42:R42" si="15">COUNTIF(G15:G41,"普主")+COUNTIF(G15:G41,"特擬")+COUNTIF(G15:G41,"被保")+COUNTIF(G15:G41,"特定")</f>
        <v>0</v>
      </c>
      <c r="H42" s="106">
        <f t="shared" si="15"/>
        <v>0</v>
      </c>
      <c r="I42" s="106">
        <f t="shared" si="15"/>
        <v>0</v>
      </c>
      <c r="J42" s="106">
        <f t="shared" si="15"/>
        <v>0</v>
      </c>
      <c r="K42" s="106">
        <f t="shared" si="15"/>
        <v>0</v>
      </c>
      <c r="L42" s="106">
        <f t="shared" si="15"/>
        <v>0</v>
      </c>
      <c r="M42" s="106">
        <f t="shared" si="15"/>
        <v>0</v>
      </c>
      <c r="N42" s="106">
        <f t="shared" si="15"/>
        <v>0</v>
      </c>
      <c r="O42" s="106">
        <f t="shared" si="15"/>
        <v>0</v>
      </c>
      <c r="P42" s="106">
        <f t="shared" si="15"/>
        <v>0</v>
      </c>
      <c r="Q42" s="106">
        <f t="shared" si="15"/>
        <v>0</v>
      </c>
      <c r="R42" s="106">
        <f t="shared" si="15"/>
        <v>0</v>
      </c>
      <c r="S42" s="80"/>
      <c r="T42" s="103"/>
      <c r="U42" s="271"/>
      <c r="V42" s="272"/>
      <c r="W42" s="64"/>
      <c r="X42" s="20"/>
    </row>
    <row r="43" spans="1:58" ht="30" customHeight="1" x14ac:dyDescent="0.45">
      <c r="A43" s="67"/>
      <c r="B43" s="21"/>
      <c r="C43" s="276" t="s">
        <v>72</v>
      </c>
      <c r="D43" s="277"/>
      <c r="E43" s="278"/>
      <c r="F43" s="68" t="str">
        <f t="shared" ref="F43:R43" si="16">IF(COUNTIF(F15:F41,"国保")&gt;=1,"○","")</f>
        <v/>
      </c>
      <c r="G43" s="34" t="str">
        <f t="shared" si="16"/>
        <v/>
      </c>
      <c r="H43" s="34" t="str">
        <f t="shared" si="16"/>
        <v/>
      </c>
      <c r="I43" s="34" t="str">
        <f t="shared" si="16"/>
        <v/>
      </c>
      <c r="J43" s="34" t="str">
        <f t="shared" si="16"/>
        <v/>
      </c>
      <c r="K43" s="34" t="str">
        <f t="shared" si="16"/>
        <v/>
      </c>
      <c r="L43" s="34" t="str">
        <f t="shared" si="16"/>
        <v/>
      </c>
      <c r="M43" s="34" t="str">
        <f t="shared" si="16"/>
        <v/>
      </c>
      <c r="N43" s="34" t="str">
        <f t="shared" si="16"/>
        <v/>
      </c>
      <c r="O43" s="34" t="str">
        <f t="shared" si="16"/>
        <v/>
      </c>
      <c r="P43" s="34" t="str">
        <f t="shared" si="16"/>
        <v/>
      </c>
      <c r="Q43" s="34" t="str">
        <f t="shared" si="16"/>
        <v/>
      </c>
      <c r="R43" s="34" t="str">
        <f t="shared" si="16"/>
        <v/>
      </c>
      <c r="S43" s="26">
        <f>COUNTIF(G43:R43,"○")</f>
        <v>0</v>
      </c>
      <c r="T43" s="26"/>
      <c r="U43" s="271"/>
      <c r="V43" s="273"/>
      <c r="W43" s="66"/>
      <c r="AI43" s="1"/>
      <c r="AJ43" s="16"/>
      <c r="AK43" s="16"/>
      <c r="AL43" s="16"/>
      <c r="AM43" s="16"/>
      <c r="AN43" s="16"/>
      <c r="AO43" s="15"/>
      <c r="AP43" s="16"/>
      <c r="AQ43" s="16"/>
      <c r="AR43" s="16"/>
      <c r="AS43" s="16"/>
      <c r="AT43" s="16"/>
      <c r="AU43" s="16"/>
      <c r="AV43" s="16"/>
      <c r="AW43" s="17"/>
      <c r="AX43" s="5"/>
      <c r="AY43" s="8"/>
      <c r="AZ43" s="8"/>
      <c r="BA43" s="5"/>
      <c r="BB43" s="8"/>
      <c r="BC43" s="8"/>
      <c r="BD43" s="8"/>
      <c r="BE43" s="5"/>
      <c r="BF43" s="5"/>
    </row>
    <row r="44" spans="1:58" ht="30" customHeight="1" x14ac:dyDescent="0.45">
      <c r="A44" s="67"/>
      <c r="B44" s="21"/>
      <c r="C44" s="276" t="s">
        <v>73</v>
      </c>
      <c r="D44" s="277"/>
      <c r="E44" s="278"/>
      <c r="F44" s="68"/>
      <c r="G44" s="34" t="str">
        <f t="shared" ref="G44:R44" si="17">IF(COUNTIF(G15:G41,"○")&gt;=1,"○","")</f>
        <v/>
      </c>
      <c r="H44" s="34" t="str">
        <f t="shared" si="17"/>
        <v/>
      </c>
      <c r="I44" s="34" t="str">
        <f t="shared" si="17"/>
        <v/>
      </c>
      <c r="J44" s="34" t="str">
        <f t="shared" si="17"/>
        <v/>
      </c>
      <c r="K44" s="34" t="str">
        <f t="shared" si="17"/>
        <v/>
      </c>
      <c r="L44" s="34" t="str">
        <f t="shared" si="17"/>
        <v/>
      </c>
      <c r="M44" s="34" t="str">
        <f t="shared" si="17"/>
        <v/>
      </c>
      <c r="N44" s="34" t="str">
        <f t="shared" si="17"/>
        <v/>
      </c>
      <c r="O44" s="34" t="str">
        <f t="shared" si="17"/>
        <v/>
      </c>
      <c r="P44" s="34" t="str">
        <f t="shared" si="17"/>
        <v/>
      </c>
      <c r="Q44" s="34" t="str">
        <f t="shared" si="17"/>
        <v/>
      </c>
      <c r="R44" s="34" t="str">
        <f t="shared" si="17"/>
        <v/>
      </c>
      <c r="S44" s="26">
        <f>COUNTIF(G44:R44,"○")</f>
        <v>0</v>
      </c>
      <c r="T44" s="26"/>
      <c r="U44" s="271"/>
      <c r="V44" s="273"/>
      <c r="W44" s="66"/>
      <c r="AI44" s="1"/>
      <c r="AJ44" s="16"/>
      <c r="AK44" s="16"/>
      <c r="AL44" s="16"/>
      <c r="AM44" s="16"/>
      <c r="AN44" s="16"/>
      <c r="AO44" s="15"/>
      <c r="AP44" s="16"/>
      <c r="AQ44" s="16"/>
      <c r="AR44" s="16"/>
      <c r="AS44" s="16"/>
      <c r="AT44" s="16"/>
      <c r="AU44" s="16"/>
      <c r="AV44" s="16"/>
      <c r="AW44" s="17"/>
      <c r="AX44" s="5"/>
      <c r="AY44" s="8"/>
      <c r="AZ44" s="8"/>
      <c r="BA44" s="5"/>
      <c r="BB44" s="8"/>
      <c r="BC44" s="8"/>
      <c r="BD44" s="8"/>
      <c r="BE44" s="5"/>
      <c r="BF44" s="5"/>
    </row>
    <row r="45" spans="1:58" ht="30" customHeight="1" thickBot="1" x14ac:dyDescent="0.5">
      <c r="A45" s="67"/>
      <c r="B45" s="22"/>
      <c r="C45" s="279" t="s">
        <v>57</v>
      </c>
      <c r="D45" s="280"/>
      <c r="E45" s="281"/>
      <c r="F45" s="38" t="str">
        <f>IF(AND(COUNTIF(F15:F41,"（特）後期")&gt;=1,COUNTIF(F15:F41,"国保")=1,F14&gt;=$AC$5,F14&lt;$AC$6),"特定",IF(AND(COUNTIF(F15:F41,"（特）後期")&gt;=1,COUNTIF(F15:F41,"国保")=1,F14&gt;=$AC$6,F14&lt;$AC$7),"特継",""))</f>
        <v/>
      </c>
      <c r="G45" s="38" t="str">
        <f t="shared" ref="G45:R45" si="18">IF(F45="","",IF(AND(COUNTIF(G15:G41,"（特）後期")&gt;=1,COUNTIF(G15:G41,"国保")=1,G13&gt;=$AC$5,G13&lt;$AC$6),"特定",IF(AND(COUNTIF(G15:G41,"（特）後期")&gt;=1,COUNTIF(G15:G41,"国保")=1,G13&gt;=$AC$6,G13&lt;$AC$7),"特継","")))</f>
        <v/>
      </c>
      <c r="H45" s="38" t="str">
        <f t="shared" si="18"/>
        <v/>
      </c>
      <c r="I45" s="38" t="str">
        <f t="shared" si="18"/>
        <v/>
      </c>
      <c r="J45" s="38" t="str">
        <f t="shared" si="18"/>
        <v/>
      </c>
      <c r="K45" s="38" t="str">
        <f t="shared" si="18"/>
        <v/>
      </c>
      <c r="L45" s="38" t="str">
        <f t="shared" si="18"/>
        <v/>
      </c>
      <c r="M45" s="38" t="str">
        <f t="shared" si="18"/>
        <v/>
      </c>
      <c r="N45" s="38" t="str">
        <f t="shared" si="18"/>
        <v/>
      </c>
      <c r="O45" s="38" t="str">
        <f t="shared" si="18"/>
        <v/>
      </c>
      <c r="P45" s="38" t="str">
        <f t="shared" si="18"/>
        <v/>
      </c>
      <c r="Q45" s="38" t="str">
        <f t="shared" si="18"/>
        <v/>
      </c>
      <c r="R45" s="38" t="str">
        <f t="shared" si="18"/>
        <v/>
      </c>
      <c r="S45" s="38" t="str">
        <f>IF(R45="","",IF(AND(COUNTIF(Q15:Q41,"後期")&gt;=1,COUNTIF(Q15:Q41,"国保")=1,Q13&gt;=$AC$5,Q13&lt;$AC$6),"特定",IF(AND(COUNTIF(Q15:Q41,"後期")&gt;=1,COUNTIF(Q15:Q41,"国保")=1,Q13&gt;=$AC$6,Q13&lt;$AC$7),"特継","")))</f>
        <v/>
      </c>
      <c r="T45" s="38"/>
      <c r="U45" s="274"/>
      <c r="V45" s="275"/>
      <c r="W45" s="66"/>
      <c r="AI45" s="1"/>
      <c r="AJ45" s="16"/>
      <c r="AK45" s="16"/>
      <c r="AL45" s="16"/>
      <c r="AM45" s="16"/>
      <c r="AN45" s="16"/>
      <c r="AO45" s="15"/>
      <c r="AP45" s="16"/>
      <c r="AQ45" s="16"/>
      <c r="AR45" s="16"/>
      <c r="AS45" s="16"/>
      <c r="AT45" s="16"/>
      <c r="AU45" s="16"/>
      <c r="AV45" s="16"/>
      <c r="AW45" s="17"/>
      <c r="AX45" s="5"/>
      <c r="AY45" s="8"/>
      <c r="AZ45" s="8"/>
      <c r="BA45" s="5"/>
      <c r="BB45" s="8"/>
      <c r="BC45" s="8"/>
      <c r="BD45" s="8"/>
      <c r="BE45" s="5"/>
      <c r="BF45" s="5"/>
    </row>
    <row r="46" spans="1:58" ht="18.75" customHeight="1" x14ac:dyDescent="0.45">
      <c r="B46" s="42"/>
      <c r="C46" s="43"/>
      <c r="D46" s="43"/>
      <c r="E46" s="44"/>
      <c r="F46" s="39"/>
      <c r="G46" s="40"/>
      <c r="H46" s="40"/>
      <c r="I46" s="40"/>
      <c r="J46" s="40"/>
      <c r="K46" s="40"/>
      <c r="L46" s="40"/>
      <c r="M46" s="40"/>
      <c r="N46" s="40"/>
      <c r="O46" s="40"/>
      <c r="P46" s="40"/>
      <c r="Q46" s="40"/>
      <c r="R46" s="40"/>
      <c r="S46" s="41"/>
      <c r="T46" s="41"/>
      <c r="U46" s="39"/>
      <c r="V46" s="39"/>
      <c r="AI46" s="1"/>
      <c r="AJ46" s="16"/>
      <c r="AK46" s="16"/>
      <c r="AL46" s="16"/>
      <c r="AM46" s="16"/>
      <c r="AN46" s="16"/>
      <c r="AO46" s="15"/>
      <c r="AP46" s="16"/>
      <c r="AQ46" s="16"/>
      <c r="AR46" s="16"/>
      <c r="AS46" s="16"/>
      <c r="AT46" s="16"/>
      <c r="AU46" s="16"/>
      <c r="AV46" s="16"/>
      <c r="AW46" s="17"/>
      <c r="AX46" s="5"/>
      <c r="AY46" s="8"/>
      <c r="AZ46" s="8"/>
      <c r="BA46" s="5"/>
      <c r="BB46" s="8"/>
      <c r="BC46" s="8"/>
      <c r="BD46" s="8"/>
      <c r="BE46" s="5"/>
      <c r="BF46" s="5"/>
    </row>
    <row r="47" spans="1:58" ht="22.8" thickBot="1" x14ac:dyDescent="0.5">
      <c r="B47" s="11" t="s">
        <v>75</v>
      </c>
      <c r="M47" s="7"/>
      <c r="N47" s="7"/>
      <c r="O47" s="7"/>
      <c r="P47" s="7"/>
      <c r="Q47" s="7"/>
      <c r="Y47" s="18"/>
      <c r="Z47" s="18"/>
      <c r="AA47" s="18"/>
      <c r="AB47" s="18"/>
      <c r="AC47" s="18"/>
      <c r="AD47" s="18"/>
      <c r="AE47" s="18"/>
      <c r="AF47" s="18"/>
      <c r="AG47" s="18"/>
      <c r="AH47" s="18"/>
      <c r="AI47" s="25"/>
      <c r="AJ47" s="18"/>
    </row>
    <row r="48" spans="1:58" ht="38.25" customHeight="1" thickTop="1" thickBot="1" x14ac:dyDescent="0.5">
      <c r="B48" s="51"/>
      <c r="C48" s="255" t="s">
        <v>56</v>
      </c>
      <c r="D48" s="256"/>
      <c r="E48" s="257" t="s">
        <v>96</v>
      </c>
      <c r="F48" s="258"/>
      <c r="G48" s="258"/>
      <c r="H48" s="247" t="s">
        <v>55</v>
      </c>
      <c r="I48" s="247"/>
      <c r="J48" s="247"/>
      <c r="K48" s="258" t="s">
        <v>40</v>
      </c>
      <c r="L48" s="258"/>
      <c r="M48" s="258"/>
      <c r="N48" s="247" t="s">
        <v>77</v>
      </c>
      <c r="O48" s="247"/>
      <c r="P48" s="247"/>
      <c r="Q48" s="247" t="s">
        <v>98</v>
      </c>
      <c r="R48" s="247"/>
      <c r="S48" s="247"/>
      <c r="T48" s="247" t="s">
        <v>78</v>
      </c>
      <c r="U48" s="247"/>
      <c r="V48" s="248"/>
      <c r="W48" s="37"/>
      <c r="X48" s="36" t="s">
        <v>41</v>
      </c>
      <c r="Y48" s="26" t="s">
        <v>8</v>
      </c>
      <c r="Z48" s="26" t="s">
        <v>10</v>
      </c>
      <c r="AA48" s="26" t="s">
        <v>11</v>
      </c>
      <c r="AB48" s="35" t="s">
        <v>43</v>
      </c>
      <c r="AC48" s="36" t="s">
        <v>44</v>
      </c>
      <c r="AD48" s="36" t="s">
        <v>91</v>
      </c>
      <c r="AE48" s="36" t="s">
        <v>92</v>
      </c>
      <c r="AF48" s="36" t="s">
        <v>95</v>
      </c>
      <c r="AG48" s="36" t="s">
        <v>90</v>
      </c>
      <c r="AH48" s="36" t="s">
        <v>54</v>
      </c>
      <c r="AI48" s="36" t="s">
        <v>94</v>
      </c>
      <c r="AJ48" s="36" t="s">
        <v>93</v>
      </c>
      <c r="AK48" s="26" t="s">
        <v>9</v>
      </c>
      <c r="AL48" s="26" t="s">
        <v>42</v>
      </c>
      <c r="AM48" s="26" t="s">
        <v>33</v>
      </c>
      <c r="AN48" s="26" t="s">
        <v>34</v>
      </c>
      <c r="AO48" s="26" t="s">
        <v>12</v>
      </c>
      <c r="AP48" s="26" t="s">
        <v>35</v>
      </c>
      <c r="AQ48" s="26" t="s">
        <v>36</v>
      </c>
      <c r="AR48" s="26" t="s">
        <v>37</v>
      </c>
      <c r="AS48" s="26" t="s">
        <v>38</v>
      </c>
      <c r="AT48" s="26" t="s">
        <v>39</v>
      </c>
    </row>
    <row r="49" spans="2:47" ht="31.5" customHeight="1" thickTop="1" x14ac:dyDescent="0.45">
      <c r="B49" s="52" t="s">
        <v>13</v>
      </c>
      <c r="C49" s="249">
        <f>C15</f>
        <v>0</v>
      </c>
      <c r="D49" s="250"/>
      <c r="E49" s="251"/>
      <c r="F49" s="252"/>
      <c r="G49" s="252"/>
      <c r="H49" s="253"/>
      <c r="I49" s="253"/>
      <c r="J49" s="253"/>
      <c r="K49" s="253"/>
      <c r="L49" s="253"/>
      <c r="M49" s="253"/>
      <c r="N49" s="252">
        <v>0</v>
      </c>
      <c r="O49" s="252"/>
      <c r="P49" s="252"/>
      <c r="Q49" s="253"/>
      <c r="R49" s="253"/>
      <c r="S49" s="253"/>
      <c r="T49" s="253"/>
      <c r="U49" s="253"/>
      <c r="V49" s="254"/>
      <c r="W49" s="32"/>
      <c r="X49" s="26" t="str">
        <f>IF(C15="","",DATEDIF(E15,$AA$5,"Y"))</f>
        <v/>
      </c>
      <c r="Y49" s="28" t="str">
        <f>IF(E15="","",DATEDIF(E15,$AA$6,"Y"))</f>
        <v/>
      </c>
      <c r="Z49" s="27" t="str">
        <f>IF(C15="","",IF(OR(AF49&gt;550000,AD49&gt;=1),"○",""))</f>
        <v/>
      </c>
      <c r="AA49" s="29">
        <f>COUNTIF(G15:R15,"国保")</f>
        <v>0</v>
      </c>
      <c r="AB49" s="33">
        <f t="shared" ref="AB49:AB57" si="19">IF(E49&lt;=650999,0,IF(AND(E49&gt;=651000,E49&lt;=1899999),E49-650000,IF(AND(E49&gt;=1900000,E49&lt;=3599999),ROUNDDOWN(E49/4,-3)*2.8-80000,IF(AND(E49&gt;=3600000,E49&lt;=6599999),ROUNDDOWN(E49/4,-3)*3.2-440000,IF(AND(E49&gt;=6600000,E49&lt;=8499999),ROUNDDOWN(E49*0.9-1100000,0),E49-1950000)))))</f>
        <v>0</v>
      </c>
      <c r="AC49" s="27">
        <f>IF(T15&gt;=1,AB49*3/10,AB49)</f>
        <v>0</v>
      </c>
      <c r="AD49" s="27" t="str">
        <f>IF(C15="","",ROUNDDOWN(IF(AND(X49&lt;65,K49&lt;=1299999),MAX(0,K49-600000),IF(AND(X49&lt;65,K49&gt;=1300000,K49&lt;=4099999),K49*0.75-275000,IF(AND(X49&lt;65,K49&gt;=4100000,K49&lt;=7699999),K49*0.85-685000,IF(AND(X49&lt;65,K49&gt;=7700000,K49&lt;=9999999),K49*0.95-1455000,IF(AND(X49&lt;65,K49&gt;=10000000),K49-1955000,IF(AND(X49&gt;=65,K49&lt;=3299999),MAX(0,K49-1100000),IF(AND(X49&gt;=65,K49&gt;=3300000,K49&lt;=4099999),K49*0.75-275000,IF(AND(X49&gt;=65,K49&gt;=4100000,K49&lt;=7699999),K49*0.85-685000,IF(AND(X49&gt;=65,K49&gt;=7700000,K49&lt;=9999999),K49*0.95-1455000,K49-1955000))))))))),0))</f>
        <v/>
      </c>
      <c r="AE49" s="27" t="str">
        <f>IF(C15="","",IF((AC49+AD49)&gt;=100000,-(MIN(AB49,100000)+MIN(AD49,100000)-100000),0))</f>
        <v/>
      </c>
      <c r="AF49" s="27">
        <f>E49-H49</f>
        <v>0</v>
      </c>
      <c r="AG49" s="27">
        <f>IF(AF49&lt;=550999,0,IF(AND(AF49&gt;=551000,AF49&lt;=1618999),AF49-550000,IF(AND(AF49&gt;=1619000,AF49&lt;=1619999),1619000,IF(AND(AF49&gt;=1620000,AF49&lt;=1621999),1070000,IF(AND(AF49&gt;=1622000,AF49&lt;=1623999),1072000,IF(AND(AF49&gt;=1624000,AF49&lt;=1627999),1074000,IF(AND(AF49&gt;=1628000,AF49&lt;=1799999),ROUNDDOWN(AF49/4,-3)*2.4+100000,IF(AND(AF49&gt;=1800000,AF49&lt;=3599999),ROUNDDOWN(AF49/4,-3)*2.8-80000,IF(AND(AF49&gt;=3600000,AF49&lt;=6599999),ROUNDDOWN(AF49/4,-3)*3.2-440000,IF(AND(AF49&gt;=6600000,AF49&lt;=8499999),ROUNDDOWN(AF49*0.9-1100000,0),AF49-1950000))))))))))</f>
        <v>0</v>
      </c>
      <c r="AH49" s="27">
        <f>IF(T15&gt;=1,AG49*3/10,AG49)</f>
        <v>0</v>
      </c>
      <c r="AI49" s="27" t="str">
        <f>IF(C15="","",AD49+AK49)</f>
        <v/>
      </c>
      <c r="AJ49" s="27" t="str">
        <f>IF(C15="","",IF((AC49+AI49)&gt;=100000,-(MIN(AB49,100000)+MIN(AI49,100000)-100000),0))</f>
        <v/>
      </c>
      <c r="AK49" s="27" t="str">
        <f>IF(C15="","",IF(AND(X49&gt;=65,AD49&gt;=150000),-150000,IF(AND(X49&gt;=65,AD49&lt;150000),-AD49,0)))</f>
        <v/>
      </c>
      <c r="AL49" s="27" t="str">
        <f>IF(C15="","",N49+Q49+T49+AH49+AI49+AJ49+AK49)</f>
        <v/>
      </c>
      <c r="AM49" s="30" t="str">
        <f>IF(C15="","",DATE(YEAR(E15)+40,MONTH(E15),DAY(E15)-1))</f>
        <v/>
      </c>
      <c r="AN49" s="30" t="str">
        <f>IF(C15="","",DATE(YEAR(E15)+65,MONTH(E15),DAY(E15)-1))</f>
        <v/>
      </c>
      <c r="AO49" s="29">
        <f>COUNTIF(G16:R16,"○")</f>
        <v>0</v>
      </c>
      <c r="AP49" s="30" t="str">
        <f>IF(C15="","",DATE(YEAR(E15)+75,MONTH(E15),DAY(E15)-1))</f>
        <v/>
      </c>
      <c r="AQ49" s="30" t="str">
        <f>IF(C15="","",DATE(YEAR(E15)+80,MONTH(E15),DAY(E15)-1))</f>
        <v/>
      </c>
      <c r="AR49" s="30" t="str">
        <f>IF(C15="","",DATE(YEAR(E15)+83,MONTH(E15),DAY(E15)-1))</f>
        <v/>
      </c>
      <c r="AS49" s="246">
        <f>COUNTIF(G45:U45,"特定")</f>
        <v>0</v>
      </c>
      <c r="AT49" s="246">
        <f>COUNTIF(G45:U45,"特継")</f>
        <v>0</v>
      </c>
    </row>
    <row r="50" spans="2:47" ht="31.5" customHeight="1" x14ac:dyDescent="0.45">
      <c r="B50" s="53" t="s">
        <v>14</v>
      </c>
      <c r="C50" s="242">
        <f>C18</f>
        <v>0</v>
      </c>
      <c r="D50" s="243"/>
      <c r="E50" s="244">
        <v>0</v>
      </c>
      <c r="F50" s="245"/>
      <c r="G50" s="245"/>
      <c r="H50" s="234"/>
      <c r="I50" s="234"/>
      <c r="J50" s="234"/>
      <c r="K50" s="234"/>
      <c r="L50" s="234"/>
      <c r="M50" s="234"/>
      <c r="N50" s="234"/>
      <c r="O50" s="234"/>
      <c r="P50" s="234"/>
      <c r="Q50" s="234"/>
      <c r="R50" s="234"/>
      <c r="S50" s="234"/>
      <c r="T50" s="234"/>
      <c r="U50" s="234"/>
      <c r="V50" s="235"/>
      <c r="W50" s="32"/>
      <c r="X50" s="26" t="str">
        <f>IF(C18="","",DATEDIF(E18,$AA$5,"Y"))</f>
        <v/>
      </c>
      <c r="Y50" s="28" t="str">
        <f>IF(E18="","",DATEDIF(E18,$AA$6,"Y"))</f>
        <v/>
      </c>
      <c r="Z50" s="27" t="str">
        <f>IF(C18="","",IF(AND(OR(AF50&gt;550000,AD50&gt;=1),S20&gt;=1),"○",""))</f>
        <v/>
      </c>
      <c r="AA50" s="29">
        <f>COUNTIF(G18:R18,"国保")</f>
        <v>0</v>
      </c>
      <c r="AB50" s="33">
        <f t="shared" si="19"/>
        <v>0</v>
      </c>
      <c r="AC50" s="27">
        <f>IF(T18&gt;=1,AB50*3/10,AB50)</f>
        <v>0</v>
      </c>
      <c r="AD50" s="27" t="str">
        <f>IF(C18="","",ROUNDDOWN(IF(AND(X50&lt;65,K50&lt;=1299999),MAX(0,K50-600000),IF(AND(X50&lt;65,K50&gt;=1300000,K50&lt;=4099999),K50*0.75-275000,IF(AND(X50&lt;65,K50&gt;=4100000,K50&lt;=7699999),K50*0.85-685000,IF(AND(X50&lt;65,K50&gt;=7700000,K50&lt;=9999999),K50*0.95-1455000,IF(AND(X50&lt;65,K50&gt;=10000000),K50-1955000,IF(AND(X50&gt;=65,K50&lt;=3299999),MAX(0,K50-1100000),IF(AND(X50&gt;=65,K50&gt;=3300000,K50&lt;=4099999),K50*0.75-275000,IF(AND(X50&gt;=65,K50&gt;=4100000,K50&lt;=7699999),K50*0.85-685000,IF(AND(X50&gt;=65,K50&gt;=7700000,K50&lt;=9999999),K50*0.95-1455000,K50-1955000))))))))),0))</f>
        <v/>
      </c>
      <c r="AE50" s="27" t="str">
        <f>IF(C18="","",IF((AC50+AD50)&gt;=100000,-(MIN(AB50,100000)+MIN(AD50,100000)-100000),0))</f>
        <v/>
      </c>
      <c r="AF50" s="27">
        <f t="shared" ref="AF50:AF57" si="20">E50-H50</f>
        <v>0</v>
      </c>
      <c r="AG50" s="27">
        <f t="shared" ref="AG50:AG57" si="21">IF(AF50&lt;=550999,0,IF(AND(AF50&gt;=551000,AF50&lt;=1618999),AF50-550000,IF(AND(AF50&gt;=1619000,AF50&lt;=1619999),1619000,IF(AND(AF50&gt;=1620000,AF50&lt;=1621999),1070000,IF(AND(AF50&gt;=1622000,AF50&lt;=1623999),1072000,IF(AND(AF50&gt;=1624000,AF50&lt;=1627999),1074000,IF(AND(AF50&gt;=1628000,AF50&lt;=1799999),ROUNDDOWN(AF50/4,-3)*2.4+100000,IF(AND(AF50&gt;=1800000,AF50&lt;=3599999),ROUNDDOWN(AF50/4,-3)*2.8-80000,IF(AND(AF50&gt;=3600000,AF50&lt;=6599999),ROUNDDOWN(AF50/4,-3)*3.2-440000,IF(AND(AF50&gt;=6600000,AF50&lt;=8499999),ROUNDDOWN(AF50*0.9-1100000,0),AF50-1950000))))))))))</f>
        <v>0</v>
      </c>
      <c r="AH50" s="27">
        <f>IF(T18&gt;=1,AG50*3/10,AG50)</f>
        <v>0</v>
      </c>
      <c r="AI50" s="27" t="str">
        <f>IF(C18="","",AD50+AK50)</f>
        <v/>
      </c>
      <c r="AJ50" s="27" t="str">
        <f>IF(C18="","",IF((AC50+AI50)&gt;=100000,-(MIN(AB50,100000)+MIN(AI50,100000)-100000),0))</f>
        <v/>
      </c>
      <c r="AK50" s="27" t="str">
        <f>IF(C18="","",IF(AND(X50&gt;=65,AD50&gt;=150000),-150000,IF(AND(X50&gt;=65,AD50&lt;150000),-AD50,0)))</f>
        <v/>
      </c>
      <c r="AL50" s="27" t="str">
        <f>IF(C18="","",N50+Q50+T50+AH50+AI50+AJ50+AK50)</f>
        <v/>
      </c>
      <c r="AM50" s="30" t="str">
        <f>IF(C18="","",DATE(YEAR(E18)+40,MONTH(E18),DAY(E18)-1))</f>
        <v/>
      </c>
      <c r="AN50" s="30" t="str">
        <f>IF(C18="","",DATE(YEAR(E18)+65,MONTH(E18),DAY(E18)))</f>
        <v/>
      </c>
      <c r="AO50" s="29">
        <f>COUNTIF(G19:R19,"○")</f>
        <v>0</v>
      </c>
      <c r="AP50" s="30" t="str">
        <f>IF(C18="","",DATE(YEAR(E18)+75,MONTH(E18),DAY(E18)-1))</f>
        <v/>
      </c>
      <c r="AQ50" s="30" t="str">
        <f>IF(C18="","",DATE(YEAR(E18)+80,MONTH(E18),DAY(E18)-1))</f>
        <v/>
      </c>
      <c r="AR50" s="30" t="str">
        <f>IF(C18="","",DATE(YEAR(E18)+83,MONTH(E18),DAY(E18)-1))</f>
        <v/>
      </c>
      <c r="AS50" s="246"/>
      <c r="AT50" s="246"/>
    </row>
    <row r="51" spans="2:47" ht="31.5" customHeight="1" x14ac:dyDescent="0.45">
      <c r="B51" s="53" t="s">
        <v>15</v>
      </c>
      <c r="C51" s="242">
        <f>C21</f>
        <v>0</v>
      </c>
      <c r="D51" s="243"/>
      <c r="E51" s="244">
        <v>0</v>
      </c>
      <c r="F51" s="245"/>
      <c r="G51" s="245"/>
      <c r="H51" s="234"/>
      <c r="I51" s="234"/>
      <c r="J51" s="234"/>
      <c r="K51" s="234"/>
      <c r="L51" s="234"/>
      <c r="M51" s="234"/>
      <c r="N51" s="234"/>
      <c r="O51" s="234"/>
      <c r="P51" s="234"/>
      <c r="Q51" s="234"/>
      <c r="R51" s="234"/>
      <c r="S51" s="234"/>
      <c r="T51" s="234"/>
      <c r="U51" s="234"/>
      <c r="V51" s="235"/>
      <c r="W51" s="32"/>
      <c r="X51" s="26" t="str">
        <f>IF(C21="","",DATEDIF(E21,$AA$5,"Y"))</f>
        <v/>
      </c>
      <c r="Y51" s="28" t="str">
        <f>IF(E21="","",DATEDIF(E21,$AA$6,"Y"))</f>
        <v/>
      </c>
      <c r="Z51" s="27" t="str">
        <f>IF(C21="","",IF(AND(OR(AF51&gt;550000,AD51&gt;=1),S23&gt;=1),"○",""))</f>
        <v/>
      </c>
      <c r="AA51" s="29">
        <f>COUNTIF(G21:R21,"国保")</f>
        <v>0</v>
      </c>
      <c r="AB51" s="33">
        <f t="shared" si="19"/>
        <v>0</v>
      </c>
      <c r="AC51" s="27">
        <f>IF(T21&gt;=1,AB51*3/10,AB51)</f>
        <v>0</v>
      </c>
      <c r="AD51" s="27" t="str">
        <f>IF(C21="","",ROUNDDOWN(IF(AND(X51&lt;65,K51&lt;=1299999),MAX(0,K51-600000),IF(AND(X51&lt;65,K51&gt;=1300000,K51&lt;=4099999),K51*0.75-275000,IF(AND(X51&lt;65,K51&gt;=4100000,K51&lt;=7699999),K51*0.85-685000,IF(AND(X51&lt;65,K51&gt;=7700000,K51&lt;=9999999),K51*0.95-1455000,IF(AND(X51&lt;65,K51&gt;=10000000),K51-1955000,IF(AND(X51&gt;=65,K51&lt;=3299999),MAX(0,K51-1100000),IF(AND(X51&gt;=65,K51&gt;=3300000,K51&lt;=4099999),K51*0.75-275000,IF(AND(X51&gt;=65,K51&gt;=4100000,K51&lt;=7699999),K51*0.85-685000,IF(AND(X51&gt;=65,K51&gt;=7700000,K51&lt;=9999999),K51*0.95-1455000,K51-1955000))))))))),0))</f>
        <v/>
      </c>
      <c r="AE51" s="27" t="str">
        <f>IF(OR(C21="",S22="○"),"",IF((AC51+AD51)&gt;=100000,-(MIN(AB51,100000)+MIN(AD51,100000)-100000),0))</f>
        <v/>
      </c>
      <c r="AF51" s="27">
        <f t="shared" si="20"/>
        <v>0</v>
      </c>
      <c r="AG51" s="27">
        <f t="shared" si="21"/>
        <v>0</v>
      </c>
      <c r="AH51" s="27">
        <f>IF(T21&gt;=1,AG51*3/10,AG51)</f>
        <v>0</v>
      </c>
      <c r="AI51" s="27" t="str">
        <f>IF(C21="","",AD51+AK51)</f>
        <v/>
      </c>
      <c r="AJ51" s="27" t="str">
        <f>IF(C21="","",IF((AC51+AI51)&gt;=100000,-(MIN(AB51,100000)+MIN(AI51,100000)-100000),0))</f>
        <v/>
      </c>
      <c r="AK51" s="27" t="str">
        <f>IF(C21="","",IF(AND(X51&gt;=65,AD51&gt;=150000),-150000,IF(AND(X51&gt;=65,AD51&lt;150000),-AD51,0)))</f>
        <v/>
      </c>
      <c r="AL51" s="27" t="str">
        <f>IF(C21="","",N51+Q51+T51+AH51+AI51+AJ51+AK51)</f>
        <v/>
      </c>
      <c r="AM51" s="30" t="str">
        <f>IF(C21="","",DATE(YEAR(E21)+40,MONTH(E21),DAY(E21)-1))</f>
        <v/>
      </c>
      <c r="AN51" s="30" t="str">
        <f>IF(C21="","",DATE(YEAR(E21)+65,MONTH(E21),DAY(E21)))</f>
        <v/>
      </c>
      <c r="AO51" s="29">
        <f>COUNTIF(G22:R22,"○")</f>
        <v>0</v>
      </c>
      <c r="AP51" s="30" t="str">
        <f>IF(C21="","",DATE(YEAR(E21)+75,MONTH(E21),DAY(E21)-1))</f>
        <v/>
      </c>
      <c r="AQ51" s="30" t="str">
        <f>IF(C21="","",DATE(YEAR(E21)+80,MONTH(E21),DAY(E21)-1))</f>
        <v/>
      </c>
      <c r="AR51" s="30" t="str">
        <f>IF(C21="","",DATE(YEAR(E21)+83,MONTH(E21),DAY(E21)-1))</f>
        <v/>
      </c>
      <c r="AS51" s="246"/>
      <c r="AT51" s="246"/>
    </row>
    <row r="52" spans="2:47" ht="31.5" customHeight="1" x14ac:dyDescent="0.45">
      <c r="B52" s="53" t="s">
        <v>16</v>
      </c>
      <c r="C52" s="242">
        <f>C24</f>
        <v>0</v>
      </c>
      <c r="D52" s="243"/>
      <c r="E52" s="244"/>
      <c r="F52" s="245"/>
      <c r="G52" s="245"/>
      <c r="H52" s="234"/>
      <c r="I52" s="234"/>
      <c r="J52" s="234"/>
      <c r="K52" s="234"/>
      <c r="L52" s="234"/>
      <c r="M52" s="234"/>
      <c r="N52" s="234"/>
      <c r="O52" s="234"/>
      <c r="P52" s="234"/>
      <c r="Q52" s="234"/>
      <c r="R52" s="234"/>
      <c r="S52" s="234"/>
      <c r="T52" s="234"/>
      <c r="U52" s="234"/>
      <c r="V52" s="235"/>
      <c r="W52" s="32"/>
      <c r="X52" s="26" t="str">
        <f>IF(C24="","",DATEDIF(E24,$AA$5,"Y"))</f>
        <v/>
      </c>
      <c r="Y52" s="28" t="str">
        <f>IF(E24="","",DATEDIF(E24,$AA$6,"Y"))</f>
        <v/>
      </c>
      <c r="Z52" s="27" t="str">
        <f>IF(C24="","",IF(AND(OR(AF52&gt;550000,AD52&gt;=1),S26&gt;=1),"○",""))</f>
        <v/>
      </c>
      <c r="AA52" s="29">
        <f>COUNTIF(G24:R24,"国保")</f>
        <v>0</v>
      </c>
      <c r="AB52" s="33">
        <f t="shared" si="19"/>
        <v>0</v>
      </c>
      <c r="AC52" s="27">
        <f>IF(T24&gt;=1,AB52*3/10,AB52)</f>
        <v>0</v>
      </c>
      <c r="AD52" s="27" t="str">
        <f>IF(C24="","",ROUNDDOWN(IF(AND(X52&lt;65,K52&lt;=1299999),MAX(0,K52-600000),IF(AND(X52&lt;65,K52&gt;=1300000,K52&lt;=4099999),K52*0.75-275000,IF(AND(X52&lt;65,K52&gt;=4100000,K52&lt;=7699999),K52*0.85-685000,IF(AND(X52&lt;65,K52&gt;=7700000,K52&lt;=9999999),K52*0.95-1455000,IF(AND(X52&lt;65,K52&gt;=10000000),K52-1955000,IF(AND(X52&gt;=65,K52&lt;=3299999),MAX(0,K52-1100000),IF(AND(X52&gt;=65,K52&gt;=3300000,K52&lt;=4099999),K52*0.75-275000,IF(AND(X52&gt;=65,K52&gt;=4100000,K52&lt;=7699999),K52*0.85-685000,IF(AND(X52&gt;=65,K52&gt;=7700000,K52&lt;=9999999),K52*0.95-1455000,K52-1955000))))))))),0))</f>
        <v/>
      </c>
      <c r="AE52" s="27" t="str">
        <f>IF(C24="","",IF((AC52+AD52)&gt;=100000,-(MIN(AB52,100000)+MIN(AD52,100000)-100000),0))</f>
        <v/>
      </c>
      <c r="AF52" s="27">
        <f t="shared" si="20"/>
        <v>0</v>
      </c>
      <c r="AG52" s="27">
        <f t="shared" si="21"/>
        <v>0</v>
      </c>
      <c r="AH52" s="27">
        <f>IF(T24&gt;=1,AG52*3/10,AG52)</f>
        <v>0</v>
      </c>
      <c r="AI52" s="27" t="str">
        <f>IF(C24="","",AD52+AK52)</f>
        <v/>
      </c>
      <c r="AJ52" s="27" t="str">
        <f>IF(C24="","",IF((AC52+AI52)&gt;=100000,-(MIN(AB52,100000)+MIN(AI52,100000)-100000),0))</f>
        <v/>
      </c>
      <c r="AK52" s="27" t="str">
        <f>IF(C24="","",IF(AND(X52&gt;=65,AD52&gt;=150000),-150000,IF(AND(X52&gt;=65,AD52&lt;150000),-AD52,0)))</f>
        <v/>
      </c>
      <c r="AL52" s="27" t="str">
        <f>IF(C24="","",N52+Q52+T52+AH52+AI52+AJ52+AK52)</f>
        <v/>
      </c>
      <c r="AM52" s="30" t="str">
        <f>IF(C24="","",DATE(YEAR(E24)+40,MONTH(E24),DAY(E24)-1))</f>
        <v/>
      </c>
      <c r="AN52" s="30" t="str">
        <f>IF(C24="","",DATE(YEAR(E24)+65,MONTH(E24),DAY(E24)))</f>
        <v/>
      </c>
      <c r="AO52" s="29">
        <f>COUNTIF(G25:R25,"○")</f>
        <v>0</v>
      </c>
      <c r="AP52" s="30" t="str">
        <f>IF(C24="","",DATE(YEAR(E24)+75,MONTH(E24),DAY(E24)-1))</f>
        <v/>
      </c>
      <c r="AQ52" s="30" t="str">
        <f>IF(C24="","",DATE(YEAR(E24)+80,MONTH(E24),DAY(E24)-1))</f>
        <v/>
      </c>
      <c r="AR52" s="30" t="str">
        <f>IF(C24="","",DATE(YEAR(E24)+83,MONTH(E24),DAY(E24)-1))</f>
        <v/>
      </c>
      <c r="AS52" s="246"/>
      <c r="AT52" s="246"/>
    </row>
    <row r="53" spans="2:47" ht="31.5" customHeight="1" x14ac:dyDescent="0.45">
      <c r="B53" s="53" t="s">
        <v>17</v>
      </c>
      <c r="C53" s="242">
        <f>C27</f>
        <v>0</v>
      </c>
      <c r="D53" s="243"/>
      <c r="E53" s="244"/>
      <c r="F53" s="245"/>
      <c r="G53" s="245"/>
      <c r="H53" s="234"/>
      <c r="I53" s="234"/>
      <c r="J53" s="234"/>
      <c r="K53" s="234"/>
      <c r="L53" s="234"/>
      <c r="M53" s="234"/>
      <c r="N53" s="234"/>
      <c r="O53" s="234"/>
      <c r="P53" s="234"/>
      <c r="Q53" s="234"/>
      <c r="R53" s="234"/>
      <c r="S53" s="234"/>
      <c r="T53" s="234"/>
      <c r="U53" s="234"/>
      <c r="V53" s="235"/>
      <c r="W53" s="32"/>
      <c r="X53" s="26" t="str">
        <f>IF(C27="","",DATEDIF(E27,$AA$5,"Y"))</f>
        <v/>
      </c>
      <c r="Y53" s="28" t="str">
        <f>IF(E27="","",DATEDIF(E27,$AA$6,"Y"))</f>
        <v/>
      </c>
      <c r="Z53" s="27" t="str">
        <f>IF(C27="","",IF(AND(OR(AF53&gt;550000,AD53&gt;=1),S29&gt;=1),"○",""))</f>
        <v/>
      </c>
      <c r="AA53" s="29">
        <f>COUNTIF(G27:R27,"国保")</f>
        <v>0</v>
      </c>
      <c r="AB53" s="33">
        <f t="shared" si="19"/>
        <v>0</v>
      </c>
      <c r="AC53" s="27">
        <f>IF(T27&gt;=1,AB53*3/10,AB53)</f>
        <v>0</v>
      </c>
      <c r="AD53" s="27" t="str">
        <f>IF(C27="","",ROUNDDOWN(IF(AND(X53&lt;65,K53&lt;=1299999),MAX(0,K53-600000),IF(AND(X53&lt;65,K53&gt;=1300000,K53&lt;=4099999),K53*0.75-275000,IF(AND(X53&lt;65,K53&gt;=4100000,K53&lt;=7699999),K53*0.85-685000,IF(AND(X53&lt;65,K53&gt;=7700000,K53&lt;=9999999),K53*0.95-1455000,IF(AND(X53&lt;65,K53&gt;=10000000),K53-1955000,IF(AND(X53&gt;=65,K53&lt;=3299999),MAX(0,K53-1100000),IF(AND(X53&gt;=65,K53&gt;=3300000,K53&lt;=4099999),K53*0.75-275000,IF(AND(X53&gt;=65,K53&gt;=4100000,K53&lt;=7699999),K53*0.85-685000,IF(AND(X53&gt;=65,K53&gt;=7700000,K53&lt;=9999999),K53*0.95-1455000,K53-1955000))))))))),0))</f>
        <v/>
      </c>
      <c r="AE53" s="27" t="str">
        <f>IF(C27="","",IF((AC53+AD53)&gt;=100000,-(MIN(AB53,100000)+MIN(AD53,100000)-100000),0))</f>
        <v/>
      </c>
      <c r="AF53" s="27">
        <f t="shared" si="20"/>
        <v>0</v>
      </c>
      <c r="AG53" s="27">
        <f t="shared" si="21"/>
        <v>0</v>
      </c>
      <c r="AH53" s="27">
        <f>IF(T27&gt;=1,AG53*3/10,AG53)</f>
        <v>0</v>
      </c>
      <c r="AI53" s="27" t="str">
        <f>IF(C27="","",AD53+AK53)</f>
        <v/>
      </c>
      <c r="AJ53" s="27" t="str">
        <f>IF(C27="","",IF((AC53+AI53)&gt;=100000,-(MIN(AB53,100000)+MIN(AI53,100000)-100000),0))</f>
        <v/>
      </c>
      <c r="AK53" s="27" t="str">
        <f>IF(C27="","",IF(AND(X53&gt;=65,AD53&gt;=150000),-150000,IF(AND(X53&gt;=65,AD53&lt;150000),-AD53,0)))</f>
        <v/>
      </c>
      <c r="AL53" s="27" t="str">
        <f>IF(C27="","",N53+Q53+T53+AH53+AI53+AJ53+AK53)</f>
        <v/>
      </c>
      <c r="AM53" s="30" t="str">
        <f>IF(C27="","",DATE(YEAR(E27)+40,MONTH(E27),DAY(E27)-1))</f>
        <v/>
      </c>
      <c r="AN53" s="30" t="str">
        <f>IF(C27="","",DATE(YEAR(E27)+65,MONTH(E27),DAY(E27)))</f>
        <v/>
      </c>
      <c r="AO53" s="29">
        <f>COUNTIF(G28:R28,"○")</f>
        <v>0</v>
      </c>
      <c r="AP53" s="30" t="str">
        <f>IF(C27="","",DATE(YEAR(E27)+75,MONTH(E27),DAY(E27)-1))</f>
        <v/>
      </c>
      <c r="AQ53" s="30" t="str">
        <f>IF(C27="","",DATE(YEAR(E27)+80,MONTH(E27),DAY(E27)-1))</f>
        <v/>
      </c>
      <c r="AR53" s="30" t="str">
        <f>IF(C27="","",DATE(YEAR(E27)+83,MONTH(E27),DAY(E27)-1))</f>
        <v/>
      </c>
      <c r="AS53" s="246"/>
      <c r="AT53" s="246"/>
    </row>
    <row r="54" spans="2:47" ht="31.5" customHeight="1" x14ac:dyDescent="0.45">
      <c r="B54" s="53" t="s">
        <v>18</v>
      </c>
      <c r="C54" s="242">
        <f>C30</f>
        <v>0</v>
      </c>
      <c r="D54" s="243"/>
      <c r="E54" s="244"/>
      <c r="F54" s="245"/>
      <c r="G54" s="245"/>
      <c r="H54" s="234"/>
      <c r="I54" s="234"/>
      <c r="J54" s="234"/>
      <c r="K54" s="234"/>
      <c r="L54" s="234"/>
      <c r="M54" s="234"/>
      <c r="N54" s="234"/>
      <c r="O54" s="234"/>
      <c r="P54" s="234"/>
      <c r="Q54" s="234"/>
      <c r="R54" s="234"/>
      <c r="S54" s="234"/>
      <c r="T54" s="234"/>
      <c r="U54" s="234"/>
      <c r="V54" s="235"/>
      <c r="W54" s="32"/>
      <c r="X54" s="26" t="str">
        <f>IF(C30="","",DATEDIF(E30,$AA$5,"Y"))</f>
        <v/>
      </c>
      <c r="Y54" s="28" t="str">
        <f>IF(E30="","",DATEDIF(E30,$AA$6,"Y"))</f>
        <v/>
      </c>
      <c r="Z54" s="27" t="str">
        <f>IF(C30="","",IF(AND(OR(AF54&gt;550000,AD54&gt;=1),S32&gt;=1),"○",""))</f>
        <v/>
      </c>
      <c r="AA54" s="29">
        <f>COUNTIF(G30:R30,"国保")</f>
        <v>0</v>
      </c>
      <c r="AB54" s="33">
        <f t="shared" si="19"/>
        <v>0</v>
      </c>
      <c r="AC54" s="27">
        <f>IF(T30&gt;=1,AB54*3/10,AB54)</f>
        <v>0</v>
      </c>
      <c r="AD54" s="27" t="str">
        <f>IF(C30="","",ROUNDDOWN(IF(AND(X54&lt;65,K54&lt;=1299999),MAX(0,K54-600000),IF(AND(X54&lt;65,K54&gt;=1300000,K54&lt;=4099999),K54*0.75-275000,IF(AND(X54&lt;65,K54&gt;=4100000,K54&lt;=7699999),K54*0.85-685000,IF(AND(X54&lt;65,K54&gt;=7700000,K54&lt;=9999999),K54*0.95-1455000,IF(AND(X54&lt;65,K54&gt;=10000000),K54-1955000,IF(AND(X54&gt;=65,K54&lt;=3299999),MAX(0,K54-1100000),IF(AND(X54&gt;=65,K54&gt;=3300000,K54&lt;=4099999),K54*0.75-275000,IF(AND(X54&gt;=65,K54&gt;=4100000,K54&lt;=7699999),K54*0.85-685000,IF(AND(X54&gt;=65,K54&gt;=7700000,K54&lt;=9999999),K54*0.95-1455000,K54-1955000))))))))),0))</f>
        <v/>
      </c>
      <c r="AE54" s="27" t="str">
        <f>IF(C30="","",IF((AC54+AD54)&gt;=100000,-(MIN(AB54,100000)+MIN(AD54,100000)-100000),0))</f>
        <v/>
      </c>
      <c r="AF54" s="27">
        <f t="shared" si="20"/>
        <v>0</v>
      </c>
      <c r="AG54" s="27">
        <f t="shared" si="21"/>
        <v>0</v>
      </c>
      <c r="AH54" s="27">
        <f>IF(T30&gt;=1,AG54*3/10,AG54)</f>
        <v>0</v>
      </c>
      <c r="AI54" s="27" t="str">
        <f>IF(C30="","",AD54+AK54)</f>
        <v/>
      </c>
      <c r="AJ54" s="27" t="str">
        <f>IF(C30="","",IF((AC54+AI54)&gt;=100000,-(MIN(AB54,100000)+MIN(AI54,100000)-100000),0))</f>
        <v/>
      </c>
      <c r="AK54" s="27" t="str">
        <f>IF(C30="","",IF(AND(X54&gt;=65,AD54&gt;=150000),-150000,IF(AND(X54&gt;=65,AD54&lt;150000),-AD54,0)))</f>
        <v/>
      </c>
      <c r="AL54" s="27" t="str">
        <f>IF(C30="","",N54+Q54+T54+AH54+AI54+AJ54+AK54)</f>
        <v/>
      </c>
      <c r="AM54" s="30" t="str">
        <f>IF(C30="","",DATE(YEAR(E30)+40,MONTH(E30),DAY(E30)-1))</f>
        <v/>
      </c>
      <c r="AN54" s="30" t="str">
        <f>IF(C30="","",DATE(YEAR(E30)+65,MONTH(E30),DAY(E30)))</f>
        <v/>
      </c>
      <c r="AO54" s="29">
        <f>COUNTIF(G31:R31,"○")</f>
        <v>0</v>
      </c>
      <c r="AP54" s="30" t="str">
        <f>IF(C30="","",DATE(YEAR(E30)+75,MONTH(E30),DAY(E30)-1))</f>
        <v/>
      </c>
      <c r="AQ54" s="30" t="str">
        <f>IF(C30="","",DATE(YEAR(E30)+80,MONTH(E30),DAY(E30)-1))</f>
        <v/>
      </c>
      <c r="AR54" s="30" t="str">
        <f>IF(C30="","",DATE(YEAR(E30)+83,MONTH(E30),DAY(E30)-1))</f>
        <v/>
      </c>
      <c r="AS54" s="246"/>
      <c r="AT54" s="246"/>
    </row>
    <row r="55" spans="2:47" ht="31.5" customHeight="1" x14ac:dyDescent="0.45">
      <c r="B55" s="53" t="s">
        <v>19</v>
      </c>
      <c r="C55" s="242">
        <f>C33</f>
        <v>0</v>
      </c>
      <c r="D55" s="243"/>
      <c r="E55" s="244"/>
      <c r="F55" s="245"/>
      <c r="G55" s="245"/>
      <c r="H55" s="234"/>
      <c r="I55" s="234"/>
      <c r="J55" s="234"/>
      <c r="K55" s="234"/>
      <c r="L55" s="234"/>
      <c r="M55" s="234"/>
      <c r="N55" s="234"/>
      <c r="O55" s="234"/>
      <c r="P55" s="234"/>
      <c r="Q55" s="234"/>
      <c r="R55" s="234"/>
      <c r="S55" s="234"/>
      <c r="T55" s="234"/>
      <c r="U55" s="234"/>
      <c r="V55" s="235"/>
      <c r="W55" s="32"/>
      <c r="X55" s="26" t="str">
        <f>IF(C33="","",DATEDIF(E33,$AA$5,"Y"))</f>
        <v/>
      </c>
      <c r="Y55" s="28" t="str">
        <f>IF(E33="","",DATEDIF(E33,$AA$6,"Y"))</f>
        <v/>
      </c>
      <c r="Z55" s="27" t="str">
        <f>IF(C33="","",IF(AND(OR(AF55&gt;550000,AD55&gt;=1),S35&gt;=1),"○",""))</f>
        <v/>
      </c>
      <c r="AA55" s="29">
        <f>COUNTIF(G33:R33,"国保")</f>
        <v>0</v>
      </c>
      <c r="AB55" s="33">
        <f t="shared" si="19"/>
        <v>0</v>
      </c>
      <c r="AC55" s="27">
        <f>IF(T33&gt;=1,AB55*3/10,AB55)</f>
        <v>0</v>
      </c>
      <c r="AD55" s="27" t="str">
        <f>IF(C33="","",ROUNDDOWN(IF(AND(X55&lt;65,K55&lt;=1299999),MAX(0,K55-600000),IF(AND(X55&lt;65,K55&gt;=1300000,K55&lt;=4099999),K55*0.75-275000,IF(AND(X55&lt;65,K55&gt;=4100000,K55&lt;=7699999),K55*0.85-685000,IF(AND(X55&lt;65,K55&gt;=7700000,K55&lt;=9999999),K55*0.95-1455000,IF(AND(X55&lt;65,K55&gt;=10000000),K55-1955000,IF(AND(X55&gt;=65,K55&lt;=3299999),MAX(0,K55-1100000),IF(AND(X55&gt;=65,K55&gt;=3300000,K55&lt;=4099999),K55*0.75-275000,IF(AND(X55&gt;=65,K55&gt;=4100000,K55&lt;=7699999),K55*0.85-685000,IF(AND(X55&gt;=65,K55&gt;=7700000,K55&lt;=9999999),K55*0.95-1455000,K55-1955000))))))))),0))</f>
        <v/>
      </c>
      <c r="AE55" s="27" t="str">
        <f>IF(C33="","",IF((AC55+AD55)&gt;=100000,-(MIN(AB55,100000)+MIN(AD55,100000)-100000),0))</f>
        <v/>
      </c>
      <c r="AF55" s="27">
        <f t="shared" si="20"/>
        <v>0</v>
      </c>
      <c r="AG55" s="27">
        <f t="shared" si="21"/>
        <v>0</v>
      </c>
      <c r="AH55" s="27">
        <f>IF(T33&gt;=1,AG55*3/10,AG55)</f>
        <v>0</v>
      </c>
      <c r="AI55" s="27" t="str">
        <f>IF(C33="","",AD55+AK55)</f>
        <v/>
      </c>
      <c r="AJ55" s="27" t="str">
        <f>IF(C33="","",IF((AC55+AI55)&gt;=100000,-(MIN(AB55,100000)+MIN(AI55,100000)-100000),0))</f>
        <v/>
      </c>
      <c r="AK55" s="27" t="str">
        <f>IF(C33="","",IF(AND(X55&gt;=65,AD55&gt;=150000),-150000,IF(AND(X55&gt;=65,AD55&lt;150000),-AD55,0)))</f>
        <v/>
      </c>
      <c r="AL55" s="27" t="str">
        <f>IF(C33="","",N55+Q55+T55+AH55+AI55+AJ55+AK55)</f>
        <v/>
      </c>
      <c r="AM55" s="30" t="str">
        <f>IF(C33="","",DATE(YEAR(E33)+40,MONTH(E33),DAY(E33)-1))</f>
        <v/>
      </c>
      <c r="AN55" s="30" t="str">
        <f>IF(C33="","",DATE(YEAR(E33)+65,MONTH(E33),DAY(E33)))</f>
        <v/>
      </c>
      <c r="AO55" s="29">
        <f>COUNTIF(G34:R34,"○")</f>
        <v>0</v>
      </c>
      <c r="AP55" s="30" t="str">
        <f>IF(C33="","",DATE(YEAR(E33)+75,MONTH(E33),DAY(E33)-1))</f>
        <v/>
      </c>
      <c r="AQ55" s="30" t="str">
        <f>IF(C33="","",DATE(YEAR(E33)+80,MONTH(E33),DAY(E33)-1))</f>
        <v/>
      </c>
      <c r="AR55" s="30" t="str">
        <f>IF(C33="","",DATE(YEAR(E33)+83,MONTH(E33),DAY(E33)-1))</f>
        <v/>
      </c>
      <c r="AS55" s="246"/>
      <c r="AT55" s="246"/>
    </row>
    <row r="56" spans="2:47" ht="31.5" customHeight="1" x14ac:dyDescent="0.45">
      <c r="B56" s="53" t="s">
        <v>20</v>
      </c>
      <c r="C56" s="242">
        <f>C36</f>
        <v>0</v>
      </c>
      <c r="D56" s="243"/>
      <c r="E56" s="244"/>
      <c r="F56" s="245"/>
      <c r="G56" s="245"/>
      <c r="H56" s="234"/>
      <c r="I56" s="234"/>
      <c r="J56" s="234"/>
      <c r="K56" s="234"/>
      <c r="L56" s="234"/>
      <c r="M56" s="234"/>
      <c r="N56" s="234"/>
      <c r="O56" s="234"/>
      <c r="P56" s="234"/>
      <c r="Q56" s="234"/>
      <c r="R56" s="234"/>
      <c r="S56" s="234"/>
      <c r="T56" s="234"/>
      <c r="U56" s="234"/>
      <c r="V56" s="235"/>
      <c r="W56" s="32"/>
      <c r="X56" s="26" t="str">
        <f>IF(C36="","",DATEDIF(E36,$AA$5,"Y"))</f>
        <v/>
      </c>
      <c r="Y56" s="28" t="str">
        <f>IF(E36="","",DATEDIF(E36,$AA$6,"Y"))</f>
        <v/>
      </c>
      <c r="Z56" s="27" t="str">
        <f>IF(C36="","",IF(AND(OR(AF56&gt;550000,AD56&gt;=1),S38&gt;=1),"○",""))</f>
        <v/>
      </c>
      <c r="AA56" s="29">
        <f>COUNTIF(G36:R36,"国保")</f>
        <v>0</v>
      </c>
      <c r="AB56" s="33">
        <f t="shared" si="19"/>
        <v>0</v>
      </c>
      <c r="AC56" s="27">
        <f>IF(T36&gt;=1,AB56*3/10,AB56)</f>
        <v>0</v>
      </c>
      <c r="AD56" s="27" t="str">
        <f>IF(C36="","",ROUNDDOWN(IF(AND(X56&lt;65,K56&lt;=1299999),MAX(0,K56-600000),IF(AND(X56&lt;65,K56&gt;=1300000,K56&lt;=4099999),K56*0.75-275000,IF(AND(X56&lt;65,K56&gt;=4100000,K56&lt;=7699999),K56*0.85-685000,IF(AND(X56&lt;65,K56&gt;=7700000,K56&lt;=9999999),K56*0.95-1455000,IF(AND(X56&lt;65,K56&gt;=10000000),K56-1955000,IF(AND(X56&gt;=65,K56&lt;=3299999),MAX(0,K56-1100000),IF(AND(X56&gt;=65,K56&gt;=3300000,K56&lt;=4099999),K56*0.75-275000,IF(AND(X56&gt;=65,K56&gt;=4100000,K56&lt;=7699999),K56*0.85-685000,IF(AND(X56&gt;=65,K56&gt;=7700000,K56&lt;=9999999),K56*0.95-1455000,K56-1955000))))))))),0))</f>
        <v/>
      </c>
      <c r="AE56" s="27" t="str">
        <f>IF(C36="","",IF((AC56+AD56)&gt;=100000,-(MIN(AB56,100000)+MIN(AD56,100000)-100000),0))</f>
        <v/>
      </c>
      <c r="AF56" s="27">
        <f t="shared" si="20"/>
        <v>0</v>
      </c>
      <c r="AG56" s="27">
        <f t="shared" si="21"/>
        <v>0</v>
      </c>
      <c r="AH56" s="27">
        <f>IF(T36&gt;=1,AG56*3/10,AG56)</f>
        <v>0</v>
      </c>
      <c r="AI56" s="27" t="str">
        <f>IF(C36="","",AD56+AK56)</f>
        <v/>
      </c>
      <c r="AJ56" s="27" t="str">
        <f>IF(C36="","",IF((AC56+AI56)&gt;=100000,-(MIN(AB56,100000)+MIN(AI56,100000)-100000),0))</f>
        <v/>
      </c>
      <c r="AK56" s="27" t="str">
        <f>IF(C36="","",IF(AND(X56&gt;=65,AD56&gt;=150000),-150000,IF(AND(X56&gt;=65,AD56&lt;150000),-AD56,0)))</f>
        <v/>
      </c>
      <c r="AL56" s="27" t="str">
        <f>IF(C36="","",N56+Q56+T56+AH56+AI56+AJ56+AK56)</f>
        <v/>
      </c>
      <c r="AM56" s="30" t="str">
        <f>IF(C36="","",DATE(YEAR(E36)+40,MONTH(E36),DAY(E36)-1))</f>
        <v/>
      </c>
      <c r="AN56" s="30" t="str">
        <f>IF(C36="","",DATE(YEAR(E36)+65,MONTH(E36),DAY(E36)))</f>
        <v/>
      </c>
      <c r="AO56" s="29">
        <f>COUNTIF(G37:R37,"○")</f>
        <v>0</v>
      </c>
      <c r="AP56" s="30" t="str">
        <f>IF(C36="","",DATE(YEAR(E36)+75,MONTH(E36),DAY(E36)-1))</f>
        <v/>
      </c>
      <c r="AQ56" s="30" t="str">
        <f>IF(C36="","",DATE(YEAR(E36)+80,MONTH(E36),DAY(E36)-1))</f>
        <v/>
      </c>
      <c r="AR56" s="30" t="str">
        <f>IF(C36="","",DATE(YEAR(E36)+83,MONTH(E36),DAY(E36)-1))</f>
        <v/>
      </c>
      <c r="AS56" s="246"/>
      <c r="AT56" s="246"/>
    </row>
    <row r="57" spans="2:47" ht="31.5" customHeight="1" thickBot="1" x14ac:dyDescent="0.5">
      <c r="B57" s="54" t="s">
        <v>21</v>
      </c>
      <c r="C57" s="236">
        <f>C39</f>
        <v>0</v>
      </c>
      <c r="D57" s="237"/>
      <c r="E57" s="238"/>
      <c r="F57" s="239"/>
      <c r="G57" s="239"/>
      <c r="H57" s="240"/>
      <c r="I57" s="240"/>
      <c r="J57" s="240"/>
      <c r="K57" s="240"/>
      <c r="L57" s="240"/>
      <c r="M57" s="240"/>
      <c r="N57" s="240"/>
      <c r="O57" s="240"/>
      <c r="P57" s="240"/>
      <c r="Q57" s="240"/>
      <c r="R57" s="240"/>
      <c r="S57" s="240"/>
      <c r="T57" s="240"/>
      <c r="U57" s="240"/>
      <c r="V57" s="241"/>
      <c r="W57" s="32"/>
      <c r="X57" s="26" t="str">
        <f>IF(C39="","",DATEDIF(E39,$AA$5,"Y"))</f>
        <v/>
      </c>
      <c r="Y57" s="28" t="str">
        <f>IF(E39="","",DATEDIF(E39,$AA$6,"Y"))</f>
        <v/>
      </c>
      <c r="Z57" s="27" t="str">
        <f>IF(C39="","",IF(AND(OR(AF57&gt;550000,AD57&gt;=1),T41&gt;=1),"○",""))</f>
        <v/>
      </c>
      <c r="AA57" s="29">
        <f>COUNTIF(G39:R39,"国保")</f>
        <v>0</v>
      </c>
      <c r="AB57" s="33">
        <f t="shared" si="19"/>
        <v>0</v>
      </c>
      <c r="AC57" s="27">
        <f>IF(T39&gt;=1,AB57*3/10,AB57)</f>
        <v>0</v>
      </c>
      <c r="AD57" s="27" t="str">
        <f>IF(C39="","",ROUNDDOWN(IF(AND(X57&lt;65,K57&lt;=1299999),MAX(0,K57-600000),IF(AND(X57&lt;65,K57&gt;=1300000,K57&lt;=4099999),K57*0.75-275000,IF(AND(X57&lt;65,K57&gt;=4100000,K57&lt;=7699999),K57*0.85-685000,IF(AND(X57&lt;65,K57&gt;=7700000,K57&lt;=9999999),K57*0.95-1455000,IF(AND(X57&lt;65,K57&gt;=10000000),K57-1955000,IF(AND(X57&gt;=65,K57&lt;=3299999),MAX(0,K57-1100000),IF(AND(X57&gt;=65,K57&gt;=3300000,K57&lt;=4099999),K57*0.75-275000,IF(AND(X57&gt;=65,K57&gt;=4100000,K57&lt;=7699999),K57*0.85-685000,IF(AND(X57&gt;=65,K57&gt;=7700000,K57&lt;=9999999),K57*0.95-1455000,K57-1955000))))))))),0))</f>
        <v/>
      </c>
      <c r="AE57" s="27" t="str">
        <f>IF(C39="","",IF((AC57+AD57)&gt;=100000,-(MIN(AB57,100000)+MIN(AD57,100000)-100000),0))</f>
        <v/>
      </c>
      <c r="AF57" s="27">
        <f t="shared" si="20"/>
        <v>0</v>
      </c>
      <c r="AG57" s="27">
        <f t="shared" si="21"/>
        <v>0</v>
      </c>
      <c r="AH57" s="27">
        <f>IF(T39&gt;=1,AG57*3/10,AG57)</f>
        <v>0</v>
      </c>
      <c r="AI57" s="27" t="str">
        <f>IF(C39="","",AD57+AK57)</f>
        <v/>
      </c>
      <c r="AJ57" s="27" t="str">
        <f>IF(C39="","",IF((AC57+AI57)&gt;=100000,-(MIN(AB57,100000)+MIN(AI57,100000)-100000),0))</f>
        <v/>
      </c>
      <c r="AK57" s="27" t="str">
        <f>IF(C39="","",IF(AND(X57&gt;=65,AD57&gt;=150000),-150000,IF(AND(X57&gt;=65,AD57&lt;150000),-AD57,0)))</f>
        <v/>
      </c>
      <c r="AL57" s="27" t="str">
        <f>IF(C39="","",N57+Q57+T57+AH57+AI57+AJ57+AK57)</f>
        <v/>
      </c>
      <c r="AM57" s="30" t="str">
        <f>IF(C39="","",DATE(YEAR(E39)+40,MONTH(E39),DAY(E39)-1))</f>
        <v/>
      </c>
      <c r="AN57" s="30" t="str">
        <f>IF(C39="","",DATE(YEAR(E39)+65,MONTH(E39),DAY(E39)))</f>
        <v/>
      </c>
      <c r="AO57" s="29">
        <f>COUNTIF(G40:R40,"○")</f>
        <v>0</v>
      </c>
      <c r="AP57" s="30" t="str">
        <f>IF(C39="","",DATE(YEAR(E39)+75,MONTH(E39),DAY(E39)-1))</f>
        <v/>
      </c>
      <c r="AQ57" s="30" t="str">
        <f>IF(C39="","",DATE(YEAR(E39)+80,MONTH(E39),DAY(E39)-1))</f>
        <v/>
      </c>
      <c r="AR57" s="30" t="str">
        <f>IF(C39="","",DATE(YEAR(E39)+83,MONTH(E39),DAY(E39)-1))</f>
        <v/>
      </c>
      <c r="AS57" s="246"/>
      <c r="AT57" s="246"/>
    </row>
    <row r="58" spans="2:47" ht="22.5" customHeight="1" thickBot="1" x14ac:dyDescent="0.5">
      <c r="B58" s="5"/>
      <c r="C58" s="45"/>
      <c r="D58" s="45"/>
      <c r="E58" s="16"/>
      <c r="F58" s="16"/>
      <c r="G58" s="16"/>
      <c r="H58" s="5"/>
      <c r="I58" s="5"/>
      <c r="J58" s="5"/>
      <c r="K58" s="5"/>
      <c r="L58" s="5"/>
      <c r="M58" s="5"/>
      <c r="N58" s="5"/>
      <c r="O58" s="5"/>
      <c r="P58" s="5"/>
      <c r="Q58" s="5"/>
      <c r="R58" s="5"/>
      <c r="U58" s="5"/>
      <c r="V58" s="5"/>
      <c r="W58" s="5"/>
      <c r="X58" s="5"/>
      <c r="Y58" s="16"/>
      <c r="Z58" s="16"/>
      <c r="AA58" s="16"/>
      <c r="AB58" s="16"/>
      <c r="AC58" s="16"/>
      <c r="AD58" s="15"/>
      <c r="AE58" s="16"/>
      <c r="AF58" s="16"/>
      <c r="AG58" s="16"/>
      <c r="AH58" s="16"/>
      <c r="AI58" s="16"/>
      <c r="AJ58" s="16"/>
      <c r="AK58" s="16"/>
      <c r="AL58" s="17"/>
      <c r="AM58" s="5"/>
      <c r="AN58" s="8"/>
      <c r="AO58" s="8"/>
      <c r="AP58" s="5"/>
      <c r="AQ58" s="8"/>
      <c r="AR58" s="8"/>
      <c r="AS58" s="8"/>
      <c r="AT58" s="5"/>
      <c r="AU58" s="5"/>
    </row>
    <row r="59" spans="2:47" ht="30.75" customHeight="1" thickBot="1" x14ac:dyDescent="0.5">
      <c r="B59" s="223" t="s">
        <v>85</v>
      </c>
      <c r="C59" s="224"/>
      <c r="D59" s="224"/>
      <c r="E59" s="224"/>
      <c r="F59" s="224"/>
      <c r="G59" s="224"/>
      <c r="H59" s="224"/>
      <c r="I59" s="224"/>
      <c r="J59" s="224"/>
      <c r="K59" s="224"/>
      <c r="L59" s="224"/>
      <c r="M59" s="224"/>
      <c r="N59" s="224"/>
      <c r="O59" s="224"/>
      <c r="P59" s="224"/>
      <c r="Q59" s="224"/>
      <c r="R59" s="224"/>
      <c r="S59" s="224"/>
      <c r="T59" s="224"/>
      <c r="U59" s="224"/>
      <c r="V59" s="224"/>
      <c r="W59" s="70"/>
      <c r="X59" s="4"/>
      <c r="Y59" s="4"/>
      <c r="Z59" s="4"/>
      <c r="AA59" s="4"/>
      <c r="AB59" s="4"/>
      <c r="AC59" s="4"/>
      <c r="AD59" s="4"/>
      <c r="AE59" s="4"/>
      <c r="AF59" s="4"/>
      <c r="AG59" s="4"/>
      <c r="AH59" s="4"/>
      <c r="AI59" s="4"/>
      <c r="AJ59" s="4"/>
      <c r="AK59" s="4"/>
    </row>
    <row r="60" spans="2:47" ht="22.8" thickBot="1" x14ac:dyDescent="0.5">
      <c r="B60" s="11" t="s">
        <v>22</v>
      </c>
    </row>
    <row r="61" spans="2:47" ht="22.2" x14ac:dyDescent="0.45">
      <c r="B61" s="225" t="s">
        <v>79</v>
      </c>
      <c r="C61" s="226"/>
      <c r="D61" s="227" t="s">
        <v>59</v>
      </c>
      <c r="E61" s="228"/>
      <c r="F61" s="228"/>
      <c r="G61" s="228"/>
      <c r="H61" s="228"/>
      <c r="I61" s="228"/>
      <c r="J61" s="228"/>
      <c r="K61" s="228"/>
      <c r="L61" s="229"/>
      <c r="M61" s="227" t="s">
        <v>58</v>
      </c>
      <c r="N61" s="228"/>
      <c r="O61" s="228"/>
      <c r="P61" s="228"/>
      <c r="Q61" s="228"/>
      <c r="R61" s="228"/>
      <c r="S61" s="228"/>
      <c r="T61" s="228"/>
      <c r="U61" s="228"/>
      <c r="V61" s="230"/>
      <c r="W61" s="11"/>
      <c r="X61" s="11"/>
    </row>
    <row r="62" spans="2:47" ht="33.75" customHeight="1" x14ac:dyDescent="0.45">
      <c r="B62" s="231" t="s">
        <v>104</v>
      </c>
      <c r="C62" s="232"/>
      <c r="D62" s="233" t="s">
        <v>5</v>
      </c>
      <c r="E62" s="233"/>
      <c r="F62" s="233"/>
      <c r="G62" s="233" t="s">
        <v>23</v>
      </c>
      <c r="H62" s="233"/>
      <c r="I62" s="233"/>
      <c r="J62" s="232" t="s">
        <v>80</v>
      </c>
      <c r="K62" s="232"/>
      <c r="L62" s="232"/>
      <c r="M62" s="148" t="s">
        <v>103</v>
      </c>
      <c r="N62" s="149"/>
      <c r="O62" s="148" t="s">
        <v>24</v>
      </c>
      <c r="P62" s="149"/>
      <c r="Q62" s="220" t="s">
        <v>25</v>
      </c>
      <c r="R62" s="233" t="s">
        <v>26</v>
      </c>
      <c r="S62" s="233"/>
      <c r="T62" s="104" t="s">
        <v>24</v>
      </c>
      <c r="U62" s="203"/>
      <c r="V62" s="204"/>
      <c r="W62" s="65"/>
      <c r="X62" s="65"/>
      <c r="AH62" s="5"/>
      <c r="AI62" s="1"/>
    </row>
    <row r="63" spans="2:47" ht="33.75" customHeight="1" x14ac:dyDescent="0.45">
      <c r="B63" s="198">
        <f>COUNTIF(V17:V41,"被保険者")</f>
        <v>0</v>
      </c>
      <c r="C63" s="199"/>
      <c r="D63" s="200">
        <f>IF(AND(AS49=0,AT49=0),ROUND(G7*(10-O63)/10*S43/12,0),ROUND(G7*(10-O63)/10*(S43-(AS49+AT49))/12,0)+IF(AS49=0,0,ROUND(G7*(10-O63)/10*AS49/12,0)*1/2))+IF(AT49=0,0,ROUND(G7*(10-O63)/10*AT49/12,0)*3/4)</f>
        <v>0</v>
      </c>
      <c r="E63" s="200"/>
      <c r="F63" s="200"/>
      <c r="G63" s="200">
        <f>IF(AND(AS49=0,AT49=0),ROUND(G8*(10-O63)/10*S43/12,0),ROUND(G8*(10-O63)/10*(S43-(AS49+AT49))/12,0)+IF(AS49=0,0,ROUND(G8*(10-O63)/10*AS49/12,0)*1/2))+IF(AT49=0,0,ROUND(G8*(10-O63)/10*AT49/12,0)*3/4)</f>
        <v>0</v>
      </c>
      <c r="H63" s="200"/>
      <c r="I63" s="200"/>
      <c r="J63" s="200">
        <f>IF(S44=0,0,ROUND(G9*(10-O63)/10,0)*S44/12)</f>
        <v>0</v>
      </c>
      <c r="K63" s="200"/>
      <c r="L63" s="200"/>
      <c r="M63" s="140">
        <f>IF(S43=0,0,ROUND(G10*(10-O63)/10,0)*S43/12)</f>
        <v>0</v>
      </c>
      <c r="N63" s="141"/>
      <c r="O63" s="305">
        <f>IF(B63=0,0,IF(R63&lt;=U62,7,IF(R63&lt;=U63,5,IF(R63&lt;=U65,2,0))))</f>
        <v>0</v>
      </c>
      <c r="P63" s="306"/>
      <c r="Q63" s="221"/>
      <c r="R63" s="200">
        <f>SUM(AL49:AL57)</f>
        <v>0</v>
      </c>
      <c r="S63" s="200"/>
      <c r="T63" s="76" t="s">
        <v>27</v>
      </c>
      <c r="U63" s="203" t="str">
        <f>IF(B63=0,"",430000+IF(COUNTIF(Z49:Z57,"○")&gt;1,(COUNTIF(Z49:Z57,"○")-1)*100000,0))</f>
        <v/>
      </c>
      <c r="V63" s="204"/>
      <c r="AH63" s="5"/>
      <c r="AI63" s="1"/>
    </row>
    <row r="64" spans="2:47" ht="33.75" customHeight="1" x14ac:dyDescent="0.45">
      <c r="B64" s="309">
        <f>COUNTIF(V16,"&gt;=1")+COUNTIF(V19,"&gt;=1")+COUNTIF(V22,"&gt;=1")+COUNTIF(V25,"&gt;=1")+COUNTIF(V28,"&gt;=1")+COUNTIF(V31,"&gt;=1")+COUNTIF(V34,"&gt;=1")+COUNTIF(V37,"&gt;=1")+COUNTIF(S40,"&gt;=1")</f>
        <v>0</v>
      </c>
      <c r="C64" s="310"/>
      <c r="D64" s="201"/>
      <c r="E64" s="201"/>
      <c r="F64" s="201"/>
      <c r="G64" s="201"/>
      <c r="H64" s="201"/>
      <c r="I64" s="201"/>
      <c r="J64" s="201"/>
      <c r="K64" s="201"/>
      <c r="L64" s="201"/>
      <c r="M64" s="142"/>
      <c r="N64" s="143"/>
      <c r="O64" s="307"/>
      <c r="P64" s="308"/>
      <c r="Q64" s="221"/>
      <c r="R64" s="201"/>
      <c r="S64" s="201"/>
      <c r="T64" s="76" t="s">
        <v>28</v>
      </c>
      <c r="U64" s="140" t="str" cm="1">
        <f t="array" ref="U64">IF(B63=0,"",INDEX(F42:S42,MATCH(0,INDEX(0/F42:S42,),))*310000+IF(COUNTIF(Z49:Z57,"○")&gt;1,(COUNTIF(Z49:Z57,"○")-1)*100000,0)+430000)</f>
        <v/>
      </c>
      <c r="V64" s="304"/>
      <c r="AH64" s="5"/>
      <c r="AI64" s="1"/>
    </row>
    <row r="65" spans="2:49" ht="33.75" customHeight="1" thickBot="1" x14ac:dyDescent="0.5">
      <c r="B65" s="205">
        <f>COUNTIF(Y49:Y57,"&gt;=18")</f>
        <v>0</v>
      </c>
      <c r="C65" s="206"/>
      <c r="D65" s="202"/>
      <c r="E65" s="202"/>
      <c r="F65" s="202"/>
      <c r="G65" s="202"/>
      <c r="H65" s="202"/>
      <c r="I65" s="202"/>
      <c r="J65" s="202"/>
      <c r="K65" s="202"/>
      <c r="L65" s="202"/>
      <c r="M65" s="144"/>
      <c r="N65" s="145"/>
      <c r="O65" s="146" t="str">
        <f>IF(COUNTIF(Y49:Y57,"&lt;=5")&gt;=1,"未就学児","")</f>
        <v/>
      </c>
      <c r="P65" s="147"/>
      <c r="Q65" s="222"/>
      <c r="R65" s="202"/>
      <c r="S65" s="202"/>
      <c r="T65" s="77" t="s">
        <v>29</v>
      </c>
      <c r="U65" s="213" t="str" cm="1">
        <f t="array" ref="U65">IF(B63=0,"",INDEX(F42:S42,MATCH(0,INDEX(0/F42:S42,),))*570000+IF(COUNTIF(Z49:Z57,"○")&gt;1,(COUNTIF(Z49:Z57,"○")-1)*100000,0)+430000)</f>
        <v/>
      </c>
      <c r="V65" s="214"/>
      <c r="AU65" s="9"/>
      <c r="AV65" s="9"/>
      <c r="AW65" s="9"/>
    </row>
    <row r="66" spans="2:49" ht="33.75" customHeight="1" thickBot="1" x14ac:dyDescent="0.5">
      <c r="B66" s="62"/>
      <c r="C66" s="215" t="s">
        <v>56</v>
      </c>
      <c r="D66" s="216"/>
      <c r="E66" s="215" t="s">
        <v>30</v>
      </c>
      <c r="F66" s="217"/>
      <c r="G66" s="217"/>
      <c r="H66" s="217"/>
      <c r="I66" s="216"/>
      <c r="J66" s="218" t="s">
        <v>5</v>
      </c>
      <c r="K66" s="218"/>
      <c r="L66" s="218"/>
      <c r="M66" s="218" t="s">
        <v>6</v>
      </c>
      <c r="N66" s="218"/>
      <c r="O66" s="218"/>
      <c r="P66" s="218" t="s">
        <v>7</v>
      </c>
      <c r="Q66" s="218"/>
      <c r="R66" s="218"/>
      <c r="S66" s="215" t="s">
        <v>103</v>
      </c>
      <c r="T66" s="217"/>
      <c r="U66" s="215" t="s">
        <v>109</v>
      </c>
      <c r="V66" s="219"/>
      <c r="Y66" s="10"/>
    </row>
    <row r="67" spans="2:49" ht="31.5" customHeight="1" thickTop="1" x14ac:dyDescent="0.45">
      <c r="B67" s="61" t="s">
        <v>13</v>
      </c>
      <c r="C67" s="193">
        <f>C15</f>
        <v>0</v>
      </c>
      <c r="D67" s="194"/>
      <c r="E67" s="195">
        <f>IF(V17="被保険者",IF((N49+T49+AC49+AD49+AE49)&gt;=430000,(N49+T49+AC49+AD49+AE49)-430000,0),0)</f>
        <v>0</v>
      </c>
      <c r="F67" s="196"/>
      <c r="G67" s="196"/>
      <c r="H67" s="196"/>
      <c r="I67" s="197"/>
      <c r="J67" s="207">
        <f>IF(V17="被保険者",E67*C$7*AA49/12+E$7*(10-O$63)*AA49/12/IF(Z49&lt;=5,20,10),0)</f>
        <v>0</v>
      </c>
      <c r="K67" s="207"/>
      <c r="L67" s="207"/>
      <c r="M67" s="207">
        <f>IF(V17="被保険者",E67*C$8*AA49/12+E$8*(10-O$63)*AA49/12/IF(Z49&lt;=5,20,10),0)</f>
        <v>0</v>
      </c>
      <c r="N67" s="207"/>
      <c r="O67" s="207"/>
      <c r="P67" s="208">
        <f>IF(V17="被保険者",IF(AND(AO49&gt;=1),(E67*C$9*AO49/12)+E$9*(10-O$63)*AO49/12/10,0),0)</f>
        <v>0</v>
      </c>
      <c r="Q67" s="209"/>
      <c r="R67" s="210"/>
      <c r="S67" s="208">
        <f>IF(V17="被保険者",IF(AND(Y49&gt;=18),(E67*C$10*AA49/12)+E$10*(10-O$63)*AA49/12/10,0),0)</f>
        <v>0</v>
      </c>
      <c r="T67" s="210"/>
      <c r="U67" s="211">
        <f>MIN(ROUNDDOWN(SUM(J67:T67),-2))</f>
        <v>0</v>
      </c>
      <c r="V67" s="212"/>
    </row>
    <row r="68" spans="2:49" ht="31.5" customHeight="1" x14ac:dyDescent="0.45">
      <c r="B68" s="60" t="s">
        <v>14</v>
      </c>
      <c r="C68" s="148">
        <f>C18</f>
        <v>0</v>
      </c>
      <c r="D68" s="149"/>
      <c r="E68" s="195">
        <f>IF(V20="被保険者",IF((N50+T50+AC50+AD50+AE50)&gt;=430000,(N50+T50+AC50+AD50+AE50)-430000,0),0)</f>
        <v>0</v>
      </c>
      <c r="F68" s="196"/>
      <c r="G68" s="196"/>
      <c r="H68" s="196"/>
      <c r="I68" s="197"/>
      <c r="J68" s="188">
        <f>IF(V20="被保険者",E68*C$7*AA50/12+E$7*(10-O$63)*AA50/12/IF(Y50&lt;=5,20,10),0)</f>
        <v>0</v>
      </c>
      <c r="K68" s="188"/>
      <c r="L68" s="188"/>
      <c r="M68" s="188">
        <f>IF(V20="被保険者",E68*C$8*AA50/12+E$8*(10-O$63)*AA50/12/IF(Z50&lt;=5,20,10),0)</f>
        <v>0</v>
      </c>
      <c r="N68" s="188"/>
      <c r="O68" s="188"/>
      <c r="P68" s="189">
        <f>IF(V20="被保険者",IF(AND(AO50&gt;=1),(E68*C$9*AO50/12)+E$9*(10-O$63)*AO50/12/10,0),0)</f>
        <v>0</v>
      </c>
      <c r="Q68" s="190"/>
      <c r="R68" s="191"/>
      <c r="S68" s="189">
        <f>IF(V20="被保険者",IF(AND(Y50&gt;=18),(E68*C$10*AA50/12)+E$10*(10-O$63)*AA50/12/10,0),0)</f>
        <v>0</v>
      </c>
      <c r="T68" s="191"/>
      <c r="U68" s="189">
        <f t="shared" ref="U68:U75" si="22">MIN(ROUNDDOWN(SUM(J68:T68),-2))</f>
        <v>0</v>
      </c>
      <c r="V68" s="192"/>
    </row>
    <row r="69" spans="2:49" ht="31.5" customHeight="1" x14ac:dyDescent="0.45">
      <c r="B69" s="60" t="s">
        <v>15</v>
      </c>
      <c r="C69" s="193">
        <f>C21</f>
        <v>0</v>
      </c>
      <c r="D69" s="194"/>
      <c r="E69" s="185">
        <f>IF(V23="被保険者",IF((N51+T51+AC51+AD51+AE51)&gt;=430000,(N51+T51+AC51+AD51+AE51)-430000,0),0)</f>
        <v>0</v>
      </c>
      <c r="F69" s="186"/>
      <c r="G69" s="186"/>
      <c r="H69" s="186"/>
      <c r="I69" s="187"/>
      <c r="J69" s="188">
        <f>IF(V23="被保険者",E69*C$7*AA51/12+E$7*(10-O$63)*AA51/12/IF(Y51&lt;=5,20,10),0)</f>
        <v>0</v>
      </c>
      <c r="K69" s="188"/>
      <c r="L69" s="188"/>
      <c r="M69" s="188">
        <f>IF(V23="被保険者",E69*C$8*AA51/12+E$8*(10-O$63)*AA51/12/IF(Z51&lt;=5,20,10),0)</f>
        <v>0</v>
      </c>
      <c r="N69" s="188"/>
      <c r="O69" s="188"/>
      <c r="P69" s="189">
        <f>IF(V23="被保険者",IF(AND(AO51&gt;=1),(E69*C$9*AO51/12)+E$9*(10-O$63)*AO51/12/10,0),0)</f>
        <v>0</v>
      </c>
      <c r="Q69" s="190"/>
      <c r="R69" s="191"/>
      <c r="S69" s="189">
        <f>IF(V23="被保険者",IF(AND(Y51&gt;=18),(E69*C$10*AA51/12)+E$10*(10-O$63)*AA51/12/10,0),0)</f>
        <v>0</v>
      </c>
      <c r="T69" s="191"/>
      <c r="U69" s="189">
        <f t="shared" si="22"/>
        <v>0</v>
      </c>
      <c r="V69" s="192"/>
    </row>
    <row r="70" spans="2:49" ht="31.5" customHeight="1" x14ac:dyDescent="0.45">
      <c r="B70" s="60" t="s">
        <v>16</v>
      </c>
      <c r="C70" s="174">
        <f>C24</f>
        <v>0</v>
      </c>
      <c r="D70" s="175"/>
      <c r="E70" s="185">
        <f>IF(V26="被保険者",IF((N52+T52+AC52+AD52+AE52)&gt;=430000,(N52+T52+AC52+AD52+AE52)-430000,0),0)</f>
        <v>0</v>
      </c>
      <c r="F70" s="186"/>
      <c r="G70" s="186"/>
      <c r="H70" s="186"/>
      <c r="I70" s="187"/>
      <c r="J70" s="188">
        <f>IF(V26="被保険者",E70*C$7*AA52/12+E$7*(10-O$63)*AA52/12/IF(Y52&lt;=5,20,10),0)</f>
        <v>0</v>
      </c>
      <c r="K70" s="188"/>
      <c r="L70" s="188"/>
      <c r="M70" s="188">
        <f>IF(V26="被保険者",E70*C$8*AA52/12+E$8*(10-O$63)*AA52/12/IF(Z52&lt;=5,20,10),0)</f>
        <v>0</v>
      </c>
      <c r="N70" s="188"/>
      <c r="O70" s="188"/>
      <c r="P70" s="189">
        <f>IF(V26="被保険者",IF(AND(AO52&gt;=1),(E70*C$9*AO52/12)+E$9*(10-O$63)*AO52/12/10,0),0)</f>
        <v>0</v>
      </c>
      <c r="Q70" s="190"/>
      <c r="R70" s="191"/>
      <c r="S70" s="189">
        <f>IF(V26="被保険者",IF(AND(Y52&gt;=18),(E70*C$10*AA52/12)+E$10*(10-O$63)*AA52/12/10,0),0)</f>
        <v>0</v>
      </c>
      <c r="T70" s="191"/>
      <c r="U70" s="189">
        <f t="shared" si="22"/>
        <v>0</v>
      </c>
      <c r="V70" s="192"/>
    </row>
    <row r="71" spans="2:49" ht="31.5" customHeight="1" x14ac:dyDescent="0.45">
      <c r="B71" s="60" t="s">
        <v>17</v>
      </c>
      <c r="C71" s="148">
        <f>C27</f>
        <v>0</v>
      </c>
      <c r="D71" s="149"/>
      <c r="E71" s="185">
        <f>IF(V29="被保険者",IF((N53+T53+AC53+AD53+AE53)&gt;=430000,(N53+T53+AC53+AD53+AE53)-430000,0),0)</f>
        <v>0</v>
      </c>
      <c r="F71" s="186"/>
      <c r="G71" s="186"/>
      <c r="H71" s="186"/>
      <c r="I71" s="187"/>
      <c r="J71" s="188">
        <f>IF(V29="被保険者",E71*C$7*AA53/12+E$7*(10-O$63)*AA53/12/IF(Y53&lt;=5,20,10),0)</f>
        <v>0</v>
      </c>
      <c r="K71" s="188"/>
      <c r="L71" s="188"/>
      <c r="M71" s="188">
        <f>IF(V29="被保険者",E71*C$8*AA53/12+E$8*(10-O$63)*AA53/12/IF(Z53&lt;=5,20,10),0)</f>
        <v>0</v>
      </c>
      <c r="N71" s="188"/>
      <c r="O71" s="188"/>
      <c r="P71" s="189">
        <f>IF(V29="被保険者",IF(AND(AO53&gt;=1),(E71*C$9*AO53/12)+E$9*(10-O$63)*AO53/12/10,0),0)</f>
        <v>0</v>
      </c>
      <c r="Q71" s="190"/>
      <c r="R71" s="191"/>
      <c r="S71" s="189">
        <f>IF(V29="被保険者",IF(AND(Y53&gt;=18),(E71*C$10*AA53/12)+E$10*(10-O$63)*AA53/12/10,0),0)</f>
        <v>0</v>
      </c>
      <c r="T71" s="191"/>
      <c r="U71" s="189">
        <f t="shared" si="22"/>
        <v>0</v>
      </c>
      <c r="V71" s="192"/>
    </row>
    <row r="72" spans="2:49" ht="31.5" customHeight="1" x14ac:dyDescent="0.45">
      <c r="B72" s="60" t="s">
        <v>18</v>
      </c>
      <c r="C72" s="193">
        <f>C30</f>
        <v>0</v>
      </c>
      <c r="D72" s="194"/>
      <c r="E72" s="185">
        <f>IF(V32="被保険者",IF((N54+T54+AC54+AD54+AE54)&gt;=430000,(N54+T54+AC54+AD54+AE54)-430000,0),0)</f>
        <v>0</v>
      </c>
      <c r="F72" s="186"/>
      <c r="G72" s="186"/>
      <c r="H72" s="186"/>
      <c r="I72" s="187"/>
      <c r="J72" s="188">
        <f>IF(V32="被保険者",E72*C$7*AA54/12+E$7*(10-O$63)*AA54/12/IF(Y54&lt;=5,20,10),0)</f>
        <v>0</v>
      </c>
      <c r="K72" s="188"/>
      <c r="L72" s="188"/>
      <c r="M72" s="188">
        <f>IF(V32="被保険者",E72*C$8*AA54/12+E$8*(10-O$63)*AA54/12/IF(Z54&lt;=5,20,10),0)</f>
        <v>0</v>
      </c>
      <c r="N72" s="188"/>
      <c r="O72" s="188"/>
      <c r="P72" s="189">
        <f>IF(V32="被保険者",IF(AND(AO54&gt;=1),(E72*C$9*AO54/12)+E$9*(10-O$63)*AO54/12/10,0),0)</f>
        <v>0</v>
      </c>
      <c r="Q72" s="190"/>
      <c r="R72" s="191"/>
      <c r="S72" s="189">
        <f>IF(V32="被保険者",IF(AND(Y54&gt;=18),(E72*C$10*AA54/12)+E$10*(10-O$63)*AA54/12/10,0),0)</f>
        <v>0</v>
      </c>
      <c r="T72" s="191"/>
      <c r="U72" s="189">
        <f t="shared" si="22"/>
        <v>0</v>
      </c>
      <c r="V72" s="192"/>
    </row>
    <row r="73" spans="2:49" ht="31.5" customHeight="1" x14ac:dyDescent="0.45">
      <c r="B73" s="60" t="s">
        <v>19</v>
      </c>
      <c r="C73" s="148">
        <f>C33</f>
        <v>0</v>
      </c>
      <c r="D73" s="149"/>
      <c r="E73" s="185">
        <f>IF(V35="被保険者",IF((N55+T55+AC55+AD55+AE55)&gt;=430000,(N55+T55+AC55+AD55+AE55)-430000,0),0)</f>
        <v>0</v>
      </c>
      <c r="F73" s="186"/>
      <c r="G73" s="186"/>
      <c r="H73" s="186"/>
      <c r="I73" s="187"/>
      <c r="J73" s="188">
        <f>IF(V35="被保険者",E73*C$7*AA55/12+E$7*(10-O$63)*AA55/12/IF(Y55&lt;=5,20,10),0)</f>
        <v>0</v>
      </c>
      <c r="K73" s="188"/>
      <c r="L73" s="188"/>
      <c r="M73" s="188">
        <f>IF(V35="被保険者",E73*C$8*AA55/12+E$8*(10-O$63)*AA55/12/IF(Z55&lt;=5,20,10),0)</f>
        <v>0</v>
      </c>
      <c r="N73" s="188"/>
      <c r="O73" s="188"/>
      <c r="P73" s="189">
        <f>IF(V35="被保険者",IF(AND(AO55&gt;=1),(E73*C$9*AO55/12)+E$9*(10-O$63)*AO55/12/10,0),0)</f>
        <v>0</v>
      </c>
      <c r="Q73" s="190"/>
      <c r="R73" s="191"/>
      <c r="S73" s="189">
        <f>IF(V35="被保険者",IF(AND(Y55&gt;=18),(E73*C$10*AA55/12)+E$10*(10-O$63)*AA55/12/10,0),0)</f>
        <v>0</v>
      </c>
      <c r="T73" s="191"/>
      <c r="U73" s="189">
        <f t="shared" si="22"/>
        <v>0</v>
      </c>
      <c r="V73" s="192"/>
    </row>
    <row r="74" spans="2:49" ht="31.5" customHeight="1" x14ac:dyDescent="0.45">
      <c r="B74" s="60" t="s">
        <v>20</v>
      </c>
      <c r="C74" s="174">
        <f>C36</f>
        <v>0</v>
      </c>
      <c r="D74" s="175"/>
      <c r="E74" s="185">
        <f>IF(V38="被保険者",IF((N56+T56+AC56+AD56+AE56)&gt;=430000,(N56+T56+AC56+AD56+AE56)-430000,0),0)</f>
        <v>0</v>
      </c>
      <c r="F74" s="186"/>
      <c r="G74" s="186"/>
      <c r="H74" s="186"/>
      <c r="I74" s="187"/>
      <c r="J74" s="188">
        <f>IF(V38="被保険者",E74*C$7*AA56/12+E$7*(10-O$63)*AA56/12/IF(Y56&lt;=5,20,10),0)</f>
        <v>0</v>
      </c>
      <c r="K74" s="188"/>
      <c r="L74" s="188"/>
      <c r="M74" s="188">
        <f>IF(V38="被保険者",E74*C$8*AA56/12+E$8*(10-O$63)*AA56/12/IF(Z56&lt;=5,20,10),0)</f>
        <v>0</v>
      </c>
      <c r="N74" s="188"/>
      <c r="O74" s="188"/>
      <c r="P74" s="189">
        <f>IF(V38="被保険者",IF(AND(AO56&gt;=1),(E74*C$9*AO56/12)+E$9*(10-O$63)*AO56/12/10,0),0)</f>
        <v>0</v>
      </c>
      <c r="Q74" s="190"/>
      <c r="R74" s="191"/>
      <c r="S74" s="189">
        <f>IF(V38="被保険者",IF(AND(Y56&gt;=18),(E74*C$10*AA56/12)+E$10*(10-O$63)*AA56/12/10,0),0)</f>
        <v>0</v>
      </c>
      <c r="T74" s="191"/>
      <c r="U74" s="189">
        <f t="shared" si="22"/>
        <v>0</v>
      </c>
      <c r="V74" s="192"/>
    </row>
    <row r="75" spans="2:49" ht="31.5" customHeight="1" x14ac:dyDescent="0.45">
      <c r="B75" s="107" t="s">
        <v>21</v>
      </c>
      <c r="C75" s="174">
        <f>C39</f>
        <v>0</v>
      </c>
      <c r="D75" s="175"/>
      <c r="E75" s="176">
        <f>IF(S41="被保険者",IF((N57+T57+AC57+AD57+AE57)&gt;=430000,(N57+T57+AC57+AD57+AE57)-430000,0),0)</f>
        <v>0</v>
      </c>
      <c r="F75" s="177"/>
      <c r="G75" s="177"/>
      <c r="H75" s="177"/>
      <c r="I75" s="178"/>
      <c r="J75" s="179">
        <f>IF(V41="被保険者",E75*C$7*AA57/12+E$7*(10-O$63)*AA57/12/IF(Y57&lt;=5,20,10),0)</f>
        <v>0</v>
      </c>
      <c r="K75" s="179"/>
      <c r="L75" s="179"/>
      <c r="M75" s="179">
        <f>IF(V41="被保険者",E75*C$8*AA57/12+E$8*(10-O$63)*AA57/12/IF(Z57&lt;=5,20,10),0)</f>
        <v>0</v>
      </c>
      <c r="N75" s="179"/>
      <c r="O75" s="179"/>
      <c r="P75" s="180">
        <f>IF(V41="被保険者",IF(AND(AO57&gt;=1),(E75*C$9*AO57/12)+E$9*(10-O$63)*AO57/12/10,0),0)</f>
        <v>0</v>
      </c>
      <c r="Q75" s="181"/>
      <c r="R75" s="182"/>
      <c r="S75" s="180">
        <f>IF(V41="被保険者",IF(AND(Y57&gt;=18),(E75*C$10*AA57/12)+E$10*(10-O$63)*AA57/12/10,0),0)</f>
        <v>0</v>
      </c>
      <c r="T75" s="182"/>
      <c r="U75" s="183">
        <f t="shared" si="22"/>
        <v>0</v>
      </c>
      <c r="V75" s="184"/>
    </row>
    <row r="76" spans="2:49" ht="31.5" customHeight="1" thickBot="1" x14ac:dyDescent="0.5">
      <c r="B76" s="108" t="s">
        <v>105</v>
      </c>
      <c r="C76" s="295">
        <f>SUM(D63:N65)</f>
        <v>0</v>
      </c>
      <c r="D76" s="296"/>
      <c r="E76" s="296"/>
      <c r="F76" s="296"/>
      <c r="G76" s="296"/>
      <c r="H76" s="296"/>
      <c r="I76" s="296"/>
      <c r="J76" s="296"/>
      <c r="K76" s="296"/>
      <c r="L76" s="296"/>
      <c r="M76" s="296"/>
      <c r="N76" s="296"/>
      <c r="O76" s="296"/>
      <c r="P76" s="296"/>
      <c r="Q76" s="296"/>
      <c r="R76" s="296"/>
      <c r="S76" s="296"/>
      <c r="T76" s="296"/>
      <c r="U76" s="296"/>
      <c r="V76" s="297"/>
    </row>
    <row r="77" spans="2:49" s="55" customFormat="1" ht="25.5" customHeight="1" x14ac:dyDescent="0.45">
      <c r="B77" s="71" t="s">
        <v>110</v>
      </c>
      <c r="C77" s="56"/>
      <c r="D77" s="56"/>
      <c r="E77" s="57"/>
      <c r="F77" s="57"/>
      <c r="G77" s="57"/>
      <c r="H77" s="57"/>
      <c r="I77" s="57"/>
      <c r="J77" s="57"/>
      <c r="K77" s="57"/>
      <c r="L77" s="57"/>
      <c r="M77" s="57"/>
      <c r="N77" s="57"/>
      <c r="O77" s="57"/>
      <c r="P77" s="57"/>
      <c r="Q77" s="57"/>
      <c r="S77" s="58"/>
      <c r="T77" s="58"/>
      <c r="AI77" s="58"/>
    </row>
    <row r="78" spans="2:49" s="55" customFormat="1" ht="25.5" customHeight="1" x14ac:dyDescent="0.45">
      <c r="B78" s="71"/>
      <c r="C78" s="56"/>
      <c r="D78" s="56"/>
      <c r="E78" s="57"/>
      <c r="F78" s="57"/>
      <c r="G78" s="57"/>
      <c r="H78" s="57"/>
      <c r="I78" s="57"/>
      <c r="J78" s="57"/>
      <c r="K78" s="57"/>
      <c r="L78" s="57"/>
      <c r="M78" s="57"/>
      <c r="N78" s="57"/>
      <c r="O78" s="57"/>
      <c r="P78" s="57"/>
      <c r="Q78" s="57"/>
      <c r="S78" s="58"/>
      <c r="T78" s="58"/>
      <c r="AI78" s="58"/>
    </row>
    <row r="79" spans="2:49" ht="15" customHeight="1" x14ac:dyDescent="0.45">
      <c r="M79" s="12"/>
      <c r="N79" s="12"/>
      <c r="O79" s="12"/>
      <c r="P79" s="12"/>
      <c r="Q79" s="12"/>
    </row>
    <row r="80" spans="2:49" ht="22.8" thickBot="1" x14ac:dyDescent="0.5">
      <c r="B80" s="11" t="s">
        <v>32</v>
      </c>
    </row>
    <row r="81" spans="2:22" ht="34.5" customHeight="1" x14ac:dyDescent="0.45">
      <c r="B81" s="169" t="s">
        <v>5</v>
      </c>
      <c r="C81" s="160"/>
      <c r="D81" s="160"/>
      <c r="E81" s="161"/>
      <c r="F81" s="159" t="s">
        <v>81</v>
      </c>
      <c r="G81" s="160"/>
      <c r="H81" s="160"/>
      <c r="I81" s="160"/>
      <c r="J81" s="161"/>
      <c r="K81" s="159" t="s">
        <v>7</v>
      </c>
      <c r="L81" s="160"/>
      <c r="M81" s="160"/>
      <c r="N81" s="160"/>
      <c r="O81" s="161"/>
      <c r="P81" s="159" t="s">
        <v>102</v>
      </c>
      <c r="Q81" s="160"/>
      <c r="R81" s="161"/>
      <c r="S81" s="160" t="s">
        <v>31</v>
      </c>
      <c r="T81" s="160"/>
      <c r="U81" s="160"/>
      <c r="V81" s="162"/>
    </row>
    <row r="82" spans="2:22" ht="45" customHeight="1" thickBot="1" x14ac:dyDescent="0.5">
      <c r="B82" s="170">
        <f>MIN(ROUNDDOWN(SUM(J67:L75)+D63,-2),I7)</f>
        <v>0</v>
      </c>
      <c r="C82" s="171"/>
      <c r="D82" s="171"/>
      <c r="E82" s="172"/>
      <c r="F82" s="173">
        <f>MIN(ROUNDDOWN(SUM(M67:O75)+G63,-2),I8)</f>
        <v>0</v>
      </c>
      <c r="G82" s="171"/>
      <c r="H82" s="171"/>
      <c r="I82" s="171"/>
      <c r="J82" s="172"/>
      <c r="K82" s="173">
        <f>MIN(ROUNDDOWN(SUM(P67:R75)+J63,-2),I9)</f>
        <v>0</v>
      </c>
      <c r="L82" s="171"/>
      <c r="M82" s="171"/>
      <c r="N82" s="171"/>
      <c r="O82" s="172"/>
      <c r="P82" s="166">
        <f>MIN(ROUNDDOWN(SUM(S67:T75)+M63,-2),I10)</f>
        <v>0</v>
      </c>
      <c r="Q82" s="167"/>
      <c r="R82" s="168"/>
      <c r="S82" s="163">
        <f>SUM(B82:R82)</f>
        <v>0</v>
      </c>
      <c r="T82" s="164"/>
      <c r="U82" s="164"/>
      <c r="V82" s="165"/>
    </row>
    <row r="83" spans="2:22" ht="25.5" customHeight="1" x14ac:dyDescent="0.45">
      <c r="B83" s="150" t="s">
        <v>82</v>
      </c>
      <c r="C83" s="150"/>
      <c r="D83" s="150"/>
      <c r="E83" s="150"/>
      <c r="F83" s="150"/>
      <c r="G83" s="150"/>
      <c r="H83" s="150"/>
      <c r="I83" s="150"/>
      <c r="J83" s="150"/>
      <c r="K83" s="150"/>
      <c r="L83" s="150"/>
      <c r="M83" s="150"/>
      <c r="N83" s="150"/>
      <c r="O83" s="150"/>
      <c r="P83" s="150"/>
      <c r="Q83" s="150"/>
      <c r="R83" s="150"/>
      <c r="S83" s="150"/>
      <c r="T83" s="150"/>
      <c r="U83" s="150"/>
      <c r="V83" s="150"/>
    </row>
    <row r="84" spans="2:22" ht="25.5" customHeight="1" x14ac:dyDescent="0.45">
      <c r="B84" s="151" t="s">
        <v>97</v>
      </c>
      <c r="C84" s="151"/>
      <c r="D84" s="151"/>
      <c r="E84" s="151"/>
      <c r="F84" s="151"/>
      <c r="G84" s="151"/>
      <c r="H84" s="151"/>
      <c r="I84" s="151"/>
      <c r="J84" s="151"/>
      <c r="K84" s="151"/>
      <c r="L84" s="151"/>
      <c r="M84" s="151"/>
      <c r="N84" s="151"/>
      <c r="O84" s="151"/>
      <c r="P84" s="151"/>
      <c r="Q84" s="151"/>
      <c r="R84" s="151"/>
      <c r="S84" s="151"/>
      <c r="T84" s="151"/>
      <c r="U84" s="151"/>
      <c r="V84" s="151"/>
    </row>
    <row r="85" spans="2:22" ht="16.5" customHeight="1" x14ac:dyDescent="0.45">
      <c r="B85" s="59"/>
      <c r="C85" s="59"/>
      <c r="D85" s="59"/>
      <c r="E85" s="59"/>
      <c r="F85" s="59"/>
      <c r="G85" s="59"/>
      <c r="H85" s="59"/>
      <c r="I85" s="59"/>
      <c r="J85" s="59"/>
    </row>
  </sheetData>
  <sheetProtection selectLockedCells="1"/>
  <protectedRanges>
    <protectedRange sqref="B42:V45" name="範囲1"/>
    <protectedRange sqref="B49:D57" name="範囲2"/>
    <protectedRange sqref="B61:V76" name="範囲3"/>
    <protectedRange sqref="B82:V82" name="範囲4"/>
  </protectedRanges>
  <mergeCells count="247">
    <mergeCell ref="C76:V76"/>
    <mergeCell ref="B3:V3"/>
    <mergeCell ref="B4:V4"/>
    <mergeCell ref="C6:D6"/>
    <mergeCell ref="E6:F6"/>
    <mergeCell ref="G6:H6"/>
    <mergeCell ref="I6:J6"/>
    <mergeCell ref="U64:V64"/>
    <mergeCell ref="O63:P64"/>
    <mergeCell ref="B64:C64"/>
    <mergeCell ref="C10:D10"/>
    <mergeCell ref="E10:F10"/>
    <mergeCell ref="G10:H10"/>
    <mergeCell ref="I10:J10"/>
    <mergeCell ref="B12:V12"/>
    <mergeCell ref="C14:D14"/>
    <mergeCell ref="T14:U14"/>
    <mergeCell ref="C7:D7"/>
    <mergeCell ref="E7:F7"/>
    <mergeCell ref="G7:H7"/>
    <mergeCell ref="I7:J7"/>
    <mergeCell ref="C8:D8"/>
    <mergeCell ref="E8:F8"/>
    <mergeCell ref="G8:H8"/>
    <mergeCell ref="I8:J8"/>
    <mergeCell ref="B21:B23"/>
    <mergeCell ref="C21:D23"/>
    <mergeCell ref="E21:E23"/>
    <mergeCell ref="T21:U21"/>
    <mergeCell ref="B24:B26"/>
    <mergeCell ref="C24:D26"/>
    <mergeCell ref="E24:E26"/>
    <mergeCell ref="T24:U24"/>
    <mergeCell ref="B15:B17"/>
    <mergeCell ref="C15:D17"/>
    <mergeCell ref="E15:E17"/>
    <mergeCell ref="T15:U15"/>
    <mergeCell ref="B18:B20"/>
    <mergeCell ref="C18:D20"/>
    <mergeCell ref="E18:E20"/>
    <mergeCell ref="T18:U18"/>
    <mergeCell ref="B33:B35"/>
    <mergeCell ref="C33:D35"/>
    <mergeCell ref="E33:E35"/>
    <mergeCell ref="T33:U33"/>
    <mergeCell ref="B36:B38"/>
    <mergeCell ref="C36:D38"/>
    <mergeCell ref="E36:E38"/>
    <mergeCell ref="T36:U36"/>
    <mergeCell ref="B27:B29"/>
    <mergeCell ref="C27:D29"/>
    <mergeCell ref="E27:E29"/>
    <mergeCell ref="T27:U27"/>
    <mergeCell ref="B30:B32"/>
    <mergeCell ref="C30:D32"/>
    <mergeCell ref="E30:E32"/>
    <mergeCell ref="T30:U30"/>
    <mergeCell ref="B39:B41"/>
    <mergeCell ref="C39:D41"/>
    <mergeCell ref="E39:E41"/>
    <mergeCell ref="T39:U39"/>
    <mergeCell ref="C42:E42"/>
    <mergeCell ref="U42:V45"/>
    <mergeCell ref="C43:E43"/>
    <mergeCell ref="C44:E44"/>
    <mergeCell ref="C45:E45"/>
    <mergeCell ref="T48:V48"/>
    <mergeCell ref="C49:D49"/>
    <mergeCell ref="E49:G49"/>
    <mergeCell ref="H49:J49"/>
    <mergeCell ref="K49:M49"/>
    <mergeCell ref="N49:P49"/>
    <mergeCell ref="Q49:S49"/>
    <mergeCell ref="T49:V49"/>
    <mergeCell ref="C48:D48"/>
    <mergeCell ref="E48:G48"/>
    <mergeCell ref="H48:J48"/>
    <mergeCell ref="K48:M48"/>
    <mergeCell ref="N48:P48"/>
    <mergeCell ref="Q48:S48"/>
    <mergeCell ref="E51:G51"/>
    <mergeCell ref="H51:J51"/>
    <mergeCell ref="K51:M51"/>
    <mergeCell ref="N51:P51"/>
    <mergeCell ref="Q51:S51"/>
    <mergeCell ref="T51:V51"/>
    <mergeCell ref="AS49:AS57"/>
    <mergeCell ref="AT49:AT57"/>
    <mergeCell ref="C50:D50"/>
    <mergeCell ref="E50:G50"/>
    <mergeCell ref="H50:J50"/>
    <mergeCell ref="K50:M50"/>
    <mergeCell ref="N50:P50"/>
    <mergeCell ref="Q50:S50"/>
    <mergeCell ref="T50:V50"/>
    <mergeCell ref="C51:D51"/>
    <mergeCell ref="T52:V52"/>
    <mergeCell ref="C53:D53"/>
    <mergeCell ref="E53:G53"/>
    <mergeCell ref="H53:J53"/>
    <mergeCell ref="K53:M53"/>
    <mergeCell ref="N53:P53"/>
    <mergeCell ref="Q53:S53"/>
    <mergeCell ref="T53:V53"/>
    <mergeCell ref="C52:D52"/>
    <mergeCell ref="E52:G52"/>
    <mergeCell ref="H52:J52"/>
    <mergeCell ref="K52:M52"/>
    <mergeCell ref="N52:P52"/>
    <mergeCell ref="Q52:S52"/>
    <mergeCell ref="T54:V54"/>
    <mergeCell ref="C55:D55"/>
    <mergeCell ref="E55:G55"/>
    <mergeCell ref="H55:J55"/>
    <mergeCell ref="K55:M55"/>
    <mergeCell ref="N55:P55"/>
    <mergeCell ref="Q55:S55"/>
    <mergeCell ref="T55:V55"/>
    <mergeCell ref="C54:D54"/>
    <mergeCell ref="E54:G54"/>
    <mergeCell ref="H54:J54"/>
    <mergeCell ref="K54:M54"/>
    <mergeCell ref="N54:P54"/>
    <mergeCell ref="Q54:S54"/>
    <mergeCell ref="B59:V59"/>
    <mergeCell ref="B61:C61"/>
    <mergeCell ref="D61:L61"/>
    <mergeCell ref="M61:V61"/>
    <mergeCell ref="B62:C62"/>
    <mergeCell ref="D62:F62"/>
    <mergeCell ref="G62:I62"/>
    <mergeCell ref="J62:L62"/>
    <mergeCell ref="T56:V56"/>
    <mergeCell ref="C57:D57"/>
    <mergeCell ref="E57:G57"/>
    <mergeCell ref="H57:J57"/>
    <mergeCell ref="K57:M57"/>
    <mergeCell ref="N57:P57"/>
    <mergeCell ref="Q57:S57"/>
    <mergeCell ref="T57:V57"/>
    <mergeCell ref="C56:D56"/>
    <mergeCell ref="E56:G56"/>
    <mergeCell ref="H56:J56"/>
    <mergeCell ref="K56:M56"/>
    <mergeCell ref="N56:P56"/>
    <mergeCell ref="Q56:S56"/>
    <mergeCell ref="R62:S62"/>
    <mergeCell ref="U62:V62"/>
    <mergeCell ref="B63:C63"/>
    <mergeCell ref="D63:F65"/>
    <mergeCell ref="G63:I65"/>
    <mergeCell ref="J63:L65"/>
    <mergeCell ref="R63:S65"/>
    <mergeCell ref="U63:V63"/>
    <mergeCell ref="B65:C65"/>
    <mergeCell ref="C67:D67"/>
    <mergeCell ref="E67:I67"/>
    <mergeCell ref="J67:L67"/>
    <mergeCell ref="M67:O67"/>
    <mergeCell ref="P67:R67"/>
    <mergeCell ref="U67:V67"/>
    <mergeCell ref="S67:T67"/>
    <mergeCell ref="U65:V65"/>
    <mergeCell ref="C66:D66"/>
    <mergeCell ref="E66:I66"/>
    <mergeCell ref="J66:L66"/>
    <mergeCell ref="M66:O66"/>
    <mergeCell ref="P66:R66"/>
    <mergeCell ref="S66:T66"/>
    <mergeCell ref="U66:V66"/>
    <mergeCell ref="Q62:Q65"/>
    <mergeCell ref="O62:P62"/>
    <mergeCell ref="C69:D69"/>
    <mergeCell ref="E69:I69"/>
    <mergeCell ref="J69:L69"/>
    <mergeCell ref="M69:O69"/>
    <mergeCell ref="P69:R69"/>
    <mergeCell ref="U69:V69"/>
    <mergeCell ref="S69:T69"/>
    <mergeCell ref="C68:D68"/>
    <mergeCell ref="E68:I68"/>
    <mergeCell ref="J68:L68"/>
    <mergeCell ref="M68:O68"/>
    <mergeCell ref="P68:R68"/>
    <mergeCell ref="U68:V68"/>
    <mergeCell ref="S68:T68"/>
    <mergeCell ref="C71:D71"/>
    <mergeCell ref="E71:I71"/>
    <mergeCell ref="J71:L71"/>
    <mergeCell ref="M71:O71"/>
    <mergeCell ref="P71:R71"/>
    <mergeCell ref="U71:V71"/>
    <mergeCell ref="S71:T71"/>
    <mergeCell ref="C70:D70"/>
    <mergeCell ref="E70:I70"/>
    <mergeCell ref="J70:L70"/>
    <mergeCell ref="M70:O70"/>
    <mergeCell ref="P70:R70"/>
    <mergeCell ref="U70:V70"/>
    <mergeCell ref="S70:T70"/>
    <mergeCell ref="C73:D73"/>
    <mergeCell ref="E73:I73"/>
    <mergeCell ref="J73:L73"/>
    <mergeCell ref="M73:O73"/>
    <mergeCell ref="P73:R73"/>
    <mergeCell ref="U73:V73"/>
    <mergeCell ref="S73:T73"/>
    <mergeCell ref="C72:D72"/>
    <mergeCell ref="E72:I72"/>
    <mergeCell ref="J72:L72"/>
    <mergeCell ref="M72:O72"/>
    <mergeCell ref="P72:R72"/>
    <mergeCell ref="U72:V72"/>
    <mergeCell ref="S72:T72"/>
    <mergeCell ref="U75:V75"/>
    <mergeCell ref="S75:T75"/>
    <mergeCell ref="C74:D74"/>
    <mergeCell ref="E74:I74"/>
    <mergeCell ref="J74:L74"/>
    <mergeCell ref="M74:O74"/>
    <mergeCell ref="P74:R74"/>
    <mergeCell ref="U74:V74"/>
    <mergeCell ref="S74:T74"/>
    <mergeCell ref="M63:N65"/>
    <mergeCell ref="O65:P65"/>
    <mergeCell ref="M62:N62"/>
    <mergeCell ref="B83:V83"/>
    <mergeCell ref="B84:V84"/>
    <mergeCell ref="C9:D9"/>
    <mergeCell ref="E9:F9"/>
    <mergeCell ref="G9:H9"/>
    <mergeCell ref="I9:J9"/>
    <mergeCell ref="P81:R81"/>
    <mergeCell ref="S81:V81"/>
    <mergeCell ref="S82:V82"/>
    <mergeCell ref="P82:R82"/>
    <mergeCell ref="B81:E81"/>
    <mergeCell ref="F81:J81"/>
    <mergeCell ref="K81:O81"/>
    <mergeCell ref="B82:E82"/>
    <mergeCell ref="F82:J82"/>
    <mergeCell ref="K82:O82"/>
    <mergeCell ref="C75:D75"/>
    <mergeCell ref="E75:I75"/>
    <mergeCell ref="J75:L75"/>
    <mergeCell ref="M75:O75"/>
    <mergeCell ref="P75:R75"/>
  </mergeCells>
  <phoneticPr fontId="2"/>
  <conditionalFormatting sqref="F15:R39">
    <cfRule type="cellIs" dxfId="3" priority="1" operator="equal">
      <formula>"（特）後期"</formula>
    </cfRule>
    <cfRule type="cellIs" dxfId="2" priority="2" operator="equal">
      <formula>"後期"</formula>
    </cfRule>
    <cfRule type="cellIs" dxfId="1" priority="3" operator="equal">
      <formula>"国保"</formula>
    </cfRule>
    <cfRule type="cellIs" dxfId="0" priority="4" operator="equal">
      <formula>"社保"</formula>
    </cfRule>
  </conditionalFormatting>
  <dataValidations count="9">
    <dataValidation type="list" allowBlank="1" showInputMessage="1" showErrorMessage="1" sqref="T18 T39 T21 T24 T27 T30 T33 T36 T15" xr:uid="{545DF02D-65F0-4C0F-A7CB-700A8C23FD35}">
      <formula1>"11,12,21,22,23,31,32,33,34"</formula1>
    </dataValidation>
    <dataValidation type="whole" operator="greaterThanOrEqual" allowBlank="1" showInputMessage="1" showErrorMessage="1" sqref="E58" xr:uid="{1BC6854F-B0D2-46EA-881C-40A22A311D7B}">
      <formula1>0</formula1>
    </dataValidation>
    <dataValidation type="list" allowBlank="1" showInputMessage="1" showErrorMessage="1" errorTitle="後期高齢者のため入力できません" sqref="F15:R15" xr:uid="{E55B73FF-8629-4228-BFDE-07BAE2DEBA9C}">
      <formula1>"国保,社保,後期,（特）後期"</formula1>
    </dataValidation>
    <dataValidation type="list" allowBlank="1" showInputMessage="1" showErrorMessage="1" sqref="S18 S21 S24 S27 S30 S33 S36 S39" xr:uid="{26761D74-F530-45E9-A922-75A2789479C8}">
      <formula1>"○"</formula1>
    </dataValidation>
    <dataValidation type="list" allowBlank="1" showInputMessage="1" showErrorMessage="1" sqref="G18:R18 G21:R21 G24:R24 G33:R33 G36:R36 G30:R30 G27:R27 G39:R39" xr:uid="{F7E28608-4F06-45ED-9AC2-E57719ADECDC}">
      <formula1>"国保,（特）後期"</formula1>
    </dataValidation>
    <dataValidation imeMode="hiragana" allowBlank="1" showInputMessage="1" showErrorMessage="1" sqref="C15:D41" xr:uid="{B2AF0F4C-8BC2-4D0C-AF94-61FE0514DF7A}"/>
    <dataValidation imeMode="halfAlpha" allowBlank="1" showInputMessage="1" showErrorMessage="1" sqref="E15:E41" xr:uid="{1E2A79C6-E15A-4AEB-B2D4-B38DFA89CAE9}"/>
    <dataValidation type="whole" imeMode="halfAlpha" operator="greaterThanOrEqual" allowBlank="1" showInputMessage="1" showErrorMessage="1" sqref="E49:V57" xr:uid="{9F708192-A851-413B-AEEA-5405994F08E2}">
      <formula1>0</formula1>
    </dataValidation>
    <dataValidation type="list" allowBlank="1" showInputMessage="1" showErrorMessage="1" sqref="F18 F21 F24 F27 F30 F33 F36 F39" xr:uid="{E9BF7986-7586-4F45-9CB7-B5A6E31224FD}">
      <formula1>"国保,社保,（特）後期"</formula1>
    </dataValidation>
  </dataValidations>
  <pageMargins left="0.39370078740157483" right="0.39370078740157483" top="0.39370078740157483" bottom="0.39370078740157483" header="0.31496062992125984" footer="0.31496062992125984"/>
  <pageSetup paperSize="8" scale="69" fitToHeight="0" orientation="portrait" r:id="rId1"/>
  <rowBreaks count="1" manualBreakCount="1">
    <brk id="56" max="22" man="1"/>
  </rowBreaks>
  <colBreaks count="2" manualBreakCount="2">
    <brk id="24" max="1048575" man="1"/>
    <brk id="3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入力方法</vt:lpstr>
      <vt:lpstr>入力シート</vt:lpstr>
      <vt:lpstr>入力シート!Print_Area</vt:lpstr>
      <vt:lpstr>入力方法!Print_Area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安原　崇弘</dc:creator>
  <cp:lastModifiedBy>NK839（中之条町）</cp:lastModifiedBy>
  <cp:lastPrinted>2024-03-25T00:34:24Z</cp:lastPrinted>
  <dcterms:created xsi:type="dcterms:W3CDTF">2022-09-06T07:45:17Z</dcterms:created>
  <dcterms:modified xsi:type="dcterms:W3CDTF">2026-05-08T04:23:44Z</dcterms:modified>
</cp:coreProperties>
</file>