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ate1904="1" defaultThemeVersion="166925"/>
  <mc:AlternateContent xmlns:mc="http://schemas.openxmlformats.org/markup-compatibility/2006">
    <mc:Choice Requires="x15">
      <x15ac:absPath xmlns:x15ac="http://schemas.microsoft.com/office/spreadsheetml/2010/11/ac" url="\\172.20.0.46\税務課\国保税\06_賦課\01_一般事務\令和6年度\"/>
    </mc:Choice>
  </mc:AlternateContent>
  <xr:revisionPtr revIDLastSave="0" documentId="13_ncr:1_{C2298662-B3F4-4934-A3FF-3EB82EFA811B}" xr6:coauthVersionLast="47" xr6:coauthVersionMax="47" xr10:uidLastSave="{00000000-0000-0000-0000-000000000000}"/>
  <bookViews>
    <workbookView xWindow="-108" yWindow="-108" windowWidth="23256" windowHeight="12456" activeTab="1" xr2:uid="{548F64BF-E21C-4CE2-8F5E-3158C419048B}"/>
  </bookViews>
  <sheets>
    <sheet name="入力方法" sheetId="4" r:id="rId1"/>
    <sheet name="入力シート" sheetId="2" r:id="rId2"/>
  </sheets>
  <definedNames>
    <definedName name="_xlnm.Print_Area" localSheetId="1">入力シート!$A$1:$W$80</definedName>
    <definedName name="_xlnm.Print_Area" localSheetId="0">入力方法!$A$1:$W$80</definedName>
    <definedName name="Z_E3E860AD_D148_4C2D_9CCC_29AD6384C09A_.wvu.Cols" localSheetId="1" hidden="1">入力シート!$U:$AT</definedName>
    <definedName name="Z_E3E860AD_D148_4C2D_9CCC_29AD6384C09A_.wvu.Cols" localSheetId="0" hidden="1">入力方法!$U:$BH</definedName>
    <definedName name="Z_E3E860AD_D148_4C2D_9CCC_29AD6384C09A_.wvu.PrintArea" localSheetId="1" hidden="1">入力シート!$A$1:$R$38</definedName>
    <definedName name="Z_E3E860AD_D148_4C2D_9CCC_29AD6384C09A_.wvu.PrintArea" localSheetId="0" hidden="1">入力方法!$A$1:$R$38</definedName>
    <definedName name="Z_EB7C7550_A28C_420F_8B25_8911FF6736B1_.wvu.Cols" localSheetId="1" hidden="1">入力シート!$U:$AT</definedName>
    <definedName name="Z_EB7C7550_A28C_420F_8B25_8911FF6736B1_.wvu.Cols" localSheetId="0" hidden="1">入力方法!$U:$BH</definedName>
    <definedName name="Z_EB7C7550_A28C_420F_8B25_8911FF6736B1_.wvu.PrintArea" localSheetId="1" hidden="1">入力シート!$A$58:$L$78</definedName>
    <definedName name="Z_EB7C7550_A28C_420F_8B25_8911FF6736B1_.wvu.PrintArea" localSheetId="0" hidden="1">入力方法!$A$58:$L$78</definedName>
  </definedNames>
  <calcPr calcId="191029"/>
  <customWorkbookViews>
    <customWorkbookView name="試算結果" guid="{EB7C7550-A28C-420F-8B25-8911FF6736B1}" maximized="1" xWindow="-8" yWindow="-8" windowWidth="1382" windowHeight="744" activeSheetId="2"/>
    <customWorkbookView name="基礎データ入力" guid="{E3E860AD-D148-4C2D-9CCC-29AD6384C09A}"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 l="1"/>
  <c r="AL56" i="4"/>
  <c r="AK56" i="4"/>
  <c r="AL55" i="4"/>
  <c r="AK55" i="4"/>
  <c r="AL54" i="4"/>
  <c r="AK54" i="4"/>
  <c r="AL53" i="4"/>
  <c r="AK53" i="4"/>
  <c r="AL52" i="4"/>
  <c r="AK52" i="4"/>
  <c r="AK51" i="4"/>
  <c r="AK50" i="4"/>
  <c r="R40" i="4"/>
  <c r="Q40" i="4"/>
  <c r="P40" i="4"/>
  <c r="O40" i="4"/>
  <c r="N40" i="4"/>
  <c r="M40" i="4"/>
  <c r="L40" i="4"/>
  <c r="K40" i="4"/>
  <c r="J40" i="4"/>
  <c r="I40" i="4"/>
  <c r="H40" i="4"/>
  <c r="G40" i="4"/>
  <c r="F40" i="4"/>
  <c r="R39" i="4"/>
  <c r="Q39" i="4"/>
  <c r="P39" i="4"/>
  <c r="O39" i="4"/>
  <c r="N39" i="4"/>
  <c r="M39" i="4"/>
  <c r="L39" i="4"/>
  <c r="K39" i="4"/>
  <c r="J39" i="4"/>
  <c r="I39" i="4"/>
  <c r="H39" i="4"/>
  <c r="G39" i="4"/>
  <c r="R37" i="4"/>
  <c r="Q37" i="4"/>
  <c r="P37" i="4"/>
  <c r="O37" i="4"/>
  <c r="N37" i="4"/>
  <c r="M37" i="4"/>
  <c r="L37" i="4"/>
  <c r="K37" i="4"/>
  <c r="J37" i="4"/>
  <c r="I37" i="4"/>
  <c r="H37" i="4"/>
  <c r="G37" i="4"/>
  <c r="F37" i="4"/>
  <c r="R36" i="4"/>
  <c r="Q36" i="4"/>
  <c r="P36" i="4"/>
  <c r="O36" i="4"/>
  <c r="N36" i="4"/>
  <c r="M36" i="4"/>
  <c r="L36" i="4"/>
  <c r="K36" i="4"/>
  <c r="J36" i="4"/>
  <c r="I36" i="4"/>
  <c r="H36" i="4"/>
  <c r="G36" i="4"/>
  <c r="R34" i="4"/>
  <c r="Q34" i="4"/>
  <c r="P34" i="4"/>
  <c r="O34" i="4"/>
  <c r="N34" i="4"/>
  <c r="M34" i="4"/>
  <c r="L34" i="4"/>
  <c r="K34" i="4"/>
  <c r="J34" i="4"/>
  <c r="I34" i="4"/>
  <c r="H34" i="4"/>
  <c r="G34" i="4"/>
  <c r="F34" i="4"/>
  <c r="R33" i="4"/>
  <c r="Q33" i="4"/>
  <c r="P33" i="4"/>
  <c r="O33" i="4"/>
  <c r="N33" i="4"/>
  <c r="M33" i="4"/>
  <c r="L33" i="4"/>
  <c r="K33" i="4"/>
  <c r="J33" i="4"/>
  <c r="I33" i="4"/>
  <c r="H33" i="4"/>
  <c r="G33" i="4"/>
  <c r="R31" i="4"/>
  <c r="Q31" i="4"/>
  <c r="P31" i="4"/>
  <c r="O31" i="4"/>
  <c r="N31" i="4"/>
  <c r="M31" i="4"/>
  <c r="L31" i="4"/>
  <c r="K31" i="4"/>
  <c r="J31" i="4"/>
  <c r="I31" i="4"/>
  <c r="H31" i="4"/>
  <c r="G31" i="4"/>
  <c r="F31" i="4"/>
  <c r="R30" i="4"/>
  <c r="Q30" i="4"/>
  <c r="P30" i="4"/>
  <c r="O30" i="4"/>
  <c r="N30" i="4"/>
  <c r="M30" i="4"/>
  <c r="L30" i="4"/>
  <c r="K30" i="4"/>
  <c r="J30" i="4"/>
  <c r="I30" i="4"/>
  <c r="H30" i="4"/>
  <c r="G30" i="4"/>
  <c r="R28" i="4"/>
  <c r="Q28" i="4"/>
  <c r="P28" i="4"/>
  <c r="O28" i="4"/>
  <c r="N28" i="4"/>
  <c r="M28" i="4"/>
  <c r="L28" i="4"/>
  <c r="K28" i="4"/>
  <c r="J28" i="4"/>
  <c r="I28" i="4"/>
  <c r="H28" i="4"/>
  <c r="G28" i="4"/>
  <c r="F28" i="4"/>
  <c r="R27" i="4"/>
  <c r="Q27" i="4"/>
  <c r="P27" i="4"/>
  <c r="O27" i="4"/>
  <c r="N27" i="4"/>
  <c r="M27" i="4"/>
  <c r="L27" i="4"/>
  <c r="K27" i="4"/>
  <c r="J27" i="4"/>
  <c r="I27" i="4"/>
  <c r="H27" i="4"/>
  <c r="G27" i="4"/>
  <c r="R25" i="4"/>
  <c r="Q25" i="4"/>
  <c r="P25" i="4"/>
  <c r="O25" i="4"/>
  <c r="N25" i="4"/>
  <c r="M25" i="4"/>
  <c r="L25" i="4"/>
  <c r="K25" i="4"/>
  <c r="J25" i="4"/>
  <c r="I25" i="4"/>
  <c r="H25" i="4"/>
  <c r="G25" i="4"/>
  <c r="F25" i="4"/>
  <c r="R24" i="4"/>
  <c r="Q24" i="4"/>
  <c r="P24" i="4"/>
  <c r="O24" i="4"/>
  <c r="N24" i="4"/>
  <c r="M24" i="4"/>
  <c r="L24" i="4"/>
  <c r="K24" i="4"/>
  <c r="J24" i="4"/>
  <c r="I24" i="4"/>
  <c r="H24" i="4"/>
  <c r="G24" i="4"/>
  <c r="R22" i="4"/>
  <c r="Q22" i="4"/>
  <c r="P22" i="4"/>
  <c r="O22" i="4"/>
  <c r="N22" i="4"/>
  <c r="M22" i="4"/>
  <c r="L22" i="4"/>
  <c r="K22" i="4"/>
  <c r="J22" i="4"/>
  <c r="I22" i="4"/>
  <c r="H22" i="4"/>
  <c r="G22" i="4"/>
  <c r="F22" i="4"/>
  <c r="R21" i="4"/>
  <c r="Q21" i="4"/>
  <c r="P21" i="4"/>
  <c r="O21" i="4"/>
  <c r="N21" i="4"/>
  <c r="M21" i="4"/>
  <c r="L21" i="4"/>
  <c r="K21" i="4"/>
  <c r="J21" i="4"/>
  <c r="I21" i="4"/>
  <c r="H21" i="4"/>
  <c r="G21" i="4"/>
  <c r="R19" i="4"/>
  <c r="Q19" i="4"/>
  <c r="P19" i="4"/>
  <c r="O19" i="4"/>
  <c r="N19" i="4"/>
  <c r="M19" i="4"/>
  <c r="L19" i="4"/>
  <c r="K19" i="4"/>
  <c r="J19" i="4"/>
  <c r="I19" i="4"/>
  <c r="H19" i="4"/>
  <c r="G19" i="4"/>
  <c r="F19" i="4"/>
  <c r="R16" i="4"/>
  <c r="Q16" i="4"/>
  <c r="P16" i="4"/>
  <c r="O16" i="4"/>
  <c r="N16" i="4"/>
  <c r="M16" i="4"/>
  <c r="L16" i="4"/>
  <c r="K16" i="4"/>
  <c r="J16" i="4"/>
  <c r="I16" i="4"/>
  <c r="H16" i="4"/>
  <c r="G16" i="4"/>
  <c r="R15" i="4"/>
  <c r="Q15" i="4"/>
  <c r="P15" i="4"/>
  <c r="O15" i="4"/>
  <c r="N15" i="4"/>
  <c r="M15" i="4"/>
  <c r="L15" i="4"/>
  <c r="K15" i="4"/>
  <c r="J15" i="4"/>
  <c r="I15" i="4"/>
  <c r="H15" i="4"/>
  <c r="V22" i="2"/>
  <c r="V20" i="2"/>
  <c r="V19" i="2"/>
  <c r="V17" i="2"/>
  <c r="V16" i="2"/>
  <c r="V14" i="2"/>
  <c r="V40" i="2"/>
  <c r="V38" i="2"/>
  <c r="V37" i="2"/>
  <c r="V36" i="2"/>
  <c r="V35" i="2"/>
  <c r="V34" i="2"/>
  <c r="G39" i="2"/>
  <c r="G36" i="2"/>
  <c r="G33" i="2"/>
  <c r="G30" i="2"/>
  <c r="G16" i="2"/>
  <c r="AK56" i="2"/>
  <c r="AK55" i="2"/>
  <c r="AK54" i="2"/>
  <c r="AK53" i="2"/>
  <c r="R28" i="2"/>
  <c r="Q28" i="2"/>
  <c r="P28" i="2"/>
  <c r="O28" i="2"/>
  <c r="N28" i="2"/>
  <c r="M28" i="2"/>
  <c r="L28" i="2"/>
  <c r="K28" i="2"/>
  <c r="J28" i="2"/>
  <c r="I28" i="2"/>
  <c r="H28" i="2"/>
  <c r="G28" i="2"/>
  <c r="F28" i="2"/>
  <c r="R25" i="2"/>
  <c r="Q25" i="2"/>
  <c r="P25" i="2"/>
  <c r="O25" i="2"/>
  <c r="N25" i="2"/>
  <c r="M25" i="2"/>
  <c r="L25" i="2"/>
  <c r="K25" i="2"/>
  <c r="J25" i="2"/>
  <c r="I25" i="2"/>
  <c r="H25" i="2"/>
  <c r="G25" i="2"/>
  <c r="F25" i="2"/>
  <c r="H16" i="2"/>
  <c r="I16" i="2"/>
  <c r="J16" i="2"/>
  <c r="K16" i="2"/>
  <c r="L16" i="2"/>
  <c r="M16" i="2"/>
  <c r="N16" i="2"/>
  <c r="O16" i="2"/>
  <c r="P16" i="2"/>
  <c r="Q16" i="2"/>
  <c r="R16" i="2"/>
  <c r="F19" i="2"/>
  <c r="G19" i="2"/>
  <c r="H19" i="2"/>
  <c r="I19" i="2"/>
  <c r="J19" i="2"/>
  <c r="K19" i="2"/>
  <c r="L19" i="2"/>
  <c r="M19" i="2"/>
  <c r="N19" i="2"/>
  <c r="O19" i="2"/>
  <c r="P19" i="2"/>
  <c r="Q19" i="2"/>
  <c r="R19" i="2"/>
  <c r="F22" i="2"/>
  <c r="G22" i="2"/>
  <c r="H22" i="2"/>
  <c r="I22" i="2"/>
  <c r="J22" i="2"/>
  <c r="K22" i="2"/>
  <c r="L22" i="2"/>
  <c r="M22" i="2"/>
  <c r="N22" i="2"/>
  <c r="O22" i="2"/>
  <c r="P22" i="2"/>
  <c r="Q22" i="2"/>
  <c r="R22" i="2"/>
  <c r="C73" i="4" l="1"/>
  <c r="C72" i="4"/>
  <c r="C71" i="4"/>
  <c r="C70" i="4"/>
  <c r="C69" i="4"/>
  <c r="C68" i="4"/>
  <c r="C67" i="4"/>
  <c r="C66" i="4"/>
  <c r="C65" i="4"/>
  <c r="AR56" i="4"/>
  <c r="AQ56" i="4"/>
  <c r="AP56" i="4"/>
  <c r="AN56" i="4"/>
  <c r="AM56" i="4"/>
  <c r="AJ56" i="4"/>
  <c r="AI56" i="4"/>
  <c r="AH56" i="4"/>
  <c r="AG56" i="4"/>
  <c r="AF56" i="4"/>
  <c r="AE56" i="4"/>
  <c r="AD56" i="4"/>
  <c r="AC56" i="4"/>
  <c r="AB56" i="4"/>
  <c r="AA56" i="4"/>
  <c r="Z56" i="4"/>
  <c r="Y56" i="4"/>
  <c r="X56" i="4"/>
  <c r="C56" i="4"/>
  <c r="AR55" i="4"/>
  <c r="AQ55" i="4"/>
  <c r="AP55" i="4"/>
  <c r="AN55" i="4"/>
  <c r="AM55" i="4"/>
  <c r="AJ55" i="4"/>
  <c r="AI55" i="4"/>
  <c r="AF55" i="4"/>
  <c r="AG55" i="4" s="1"/>
  <c r="AH55" i="4" s="1"/>
  <c r="AE55" i="4"/>
  <c r="AD55" i="4"/>
  <c r="AB55" i="4"/>
  <c r="AC55" i="4" s="1"/>
  <c r="AA55" i="4"/>
  <c r="Z55" i="4"/>
  <c r="Y55" i="4"/>
  <c r="X55" i="4"/>
  <c r="C55" i="4"/>
  <c r="AR54" i="4"/>
  <c r="AQ54" i="4"/>
  <c r="AP54" i="4"/>
  <c r="AN54" i="4"/>
  <c r="AM54" i="4"/>
  <c r="AJ54" i="4"/>
  <c r="AI54" i="4"/>
  <c r="AG54" i="4"/>
  <c r="AH54" i="4" s="1"/>
  <c r="AF54" i="4"/>
  <c r="AE54" i="4"/>
  <c r="AD54" i="4"/>
  <c r="AB54" i="4"/>
  <c r="AC54" i="4" s="1"/>
  <c r="AA54" i="4"/>
  <c r="Z54" i="4"/>
  <c r="Y54" i="4"/>
  <c r="X54" i="4"/>
  <c r="C54" i="4"/>
  <c r="AR53" i="4"/>
  <c r="AQ53" i="4"/>
  <c r="AP53" i="4"/>
  <c r="AN53" i="4"/>
  <c r="AM53" i="4"/>
  <c r="AJ53" i="4"/>
  <c r="AI53" i="4"/>
  <c r="AF53" i="4"/>
  <c r="AG53" i="4" s="1"/>
  <c r="AH53" i="4" s="1"/>
  <c r="AE53" i="4"/>
  <c r="AD53" i="4"/>
  <c r="AB53" i="4"/>
  <c r="AC53" i="4" s="1"/>
  <c r="AA53" i="4"/>
  <c r="Z53" i="4"/>
  <c r="Y53" i="4"/>
  <c r="X53" i="4"/>
  <c r="C53" i="4"/>
  <c r="AR52" i="4"/>
  <c r="AQ52" i="4"/>
  <c r="AP52" i="4"/>
  <c r="AO52" i="4"/>
  <c r="AN52" i="4"/>
  <c r="AM52" i="4"/>
  <c r="AJ52" i="4"/>
  <c r="AI52" i="4"/>
  <c r="AF52" i="4"/>
  <c r="AG52" i="4" s="1"/>
  <c r="AH52" i="4" s="1"/>
  <c r="AE52" i="4"/>
  <c r="AD52" i="4"/>
  <c r="AB52" i="4"/>
  <c r="AC52" i="4" s="1"/>
  <c r="AA52" i="4"/>
  <c r="Z52" i="4"/>
  <c r="Y52" i="4"/>
  <c r="X52" i="4"/>
  <c r="C52" i="4"/>
  <c r="AR51" i="4"/>
  <c r="AQ51" i="4"/>
  <c r="AP51" i="4"/>
  <c r="AO51" i="4"/>
  <c r="AN51" i="4"/>
  <c r="AM51" i="4"/>
  <c r="AF51" i="4"/>
  <c r="AG51" i="4" s="1"/>
  <c r="AH51" i="4" s="1"/>
  <c r="AB51" i="4"/>
  <c r="AC51" i="4" s="1"/>
  <c r="AA51" i="4"/>
  <c r="C51" i="4"/>
  <c r="AR50" i="4"/>
  <c r="AQ50" i="4"/>
  <c r="AP50" i="4"/>
  <c r="AN50" i="4"/>
  <c r="AM50" i="4"/>
  <c r="AF50" i="4"/>
  <c r="AG50" i="4" s="1"/>
  <c r="AH50" i="4" s="1"/>
  <c r="AB50" i="4"/>
  <c r="AC50" i="4" s="1"/>
  <c r="AA50" i="4"/>
  <c r="C50" i="4"/>
  <c r="AR49" i="4"/>
  <c r="AQ49" i="4"/>
  <c r="AP49" i="4"/>
  <c r="AN49" i="4"/>
  <c r="AM49" i="4"/>
  <c r="AF49" i="4"/>
  <c r="AG49" i="4" s="1"/>
  <c r="AH49" i="4" s="1"/>
  <c r="AB49" i="4"/>
  <c r="AC49" i="4" s="1"/>
  <c r="AA49" i="4"/>
  <c r="C49" i="4"/>
  <c r="AR48" i="4"/>
  <c r="AQ48" i="4"/>
  <c r="AP48" i="4"/>
  <c r="AO48" i="4"/>
  <c r="AN48" i="4"/>
  <c r="AM48" i="4"/>
  <c r="AF48" i="4"/>
  <c r="AG48" i="4" s="1"/>
  <c r="AH48" i="4" s="1"/>
  <c r="AB48" i="4"/>
  <c r="AC48" i="4" s="1"/>
  <c r="AA48" i="4"/>
  <c r="C48" i="4"/>
  <c r="S40" i="4"/>
  <c r="E73" i="4" s="1"/>
  <c r="V38" i="4"/>
  <c r="V37" i="4"/>
  <c r="M72" i="4" s="1"/>
  <c r="V35" i="4"/>
  <c r="V34" i="4"/>
  <c r="E71" i="4" s="1"/>
  <c r="V32" i="4"/>
  <c r="V31" i="4"/>
  <c r="M70" i="4" s="1"/>
  <c r="V29" i="4"/>
  <c r="V28" i="4"/>
  <c r="E69" i="4" s="1"/>
  <c r="S28" i="4"/>
  <c r="V27" i="4"/>
  <c r="V26" i="4"/>
  <c r="V25" i="4"/>
  <c r="S25" i="4"/>
  <c r="V24" i="4"/>
  <c r="V23" i="4"/>
  <c r="V22" i="4"/>
  <c r="E67" i="4" s="1"/>
  <c r="V20" i="4"/>
  <c r="V19" i="4"/>
  <c r="V17" i="4"/>
  <c r="V16" i="4"/>
  <c r="S16" i="4"/>
  <c r="V15" i="4"/>
  <c r="V14" i="4"/>
  <c r="F13" i="4"/>
  <c r="R12" i="4" s="1"/>
  <c r="AA7" i="4"/>
  <c r="AC8" i="4" s="1"/>
  <c r="AC9" i="4" s="1"/>
  <c r="AA6" i="4"/>
  <c r="Y49" i="4" s="1"/>
  <c r="AA5" i="4"/>
  <c r="X49" i="4" s="1"/>
  <c r="AL56" i="2"/>
  <c r="AL55" i="2"/>
  <c r="AL54" i="2"/>
  <c r="AL53" i="2"/>
  <c r="AF49" i="2"/>
  <c r="AF50" i="2"/>
  <c r="AF51" i="2"/>
  <c r="AF52" i="2"/>
  <c r="AF53" i="2"/>
  <c r="AF54" i="2"/>
  <c r="AF55" i="2"/>
  <c r="AF56" i="2"/>
  <c r="AF48" i="2"/>
  <c r="AG48" i="2" s="1"/>
  <c r="AH48" i="2" s="1"/>
  <c r="AB48" i="2"/>
  <c r="AC48" i="2" s="1"/>
  <c r="AI56" i="2"/>
  <c r="AI55" i="2"/>
  <c r="AI54" i="2"/>
  <c r="AI53" i="2"/>
  <c r="Z56" i="2"/>
  <c r="AA56" i="2"/>
  <c r="Z55" i="2"/>
  <c r="Z54" i="2"/>
  <c r="Z53" i="2"/>
  <c r="S40" i="2"/>
  <c r="E73" i="2" s="1"/>
  <c r="E72" i="2"/>
  <c r="E71" i="2"/>
  <c r="V31" i="2"/>
  <c r="E70" i="2" s="1"/>
  <c r="V28" i="2"/>
  <c r="V25" i="2"/>
  <c r="R18" i="4" l="1"/>
  <c r="J18" i="4"/>
  <c r="Q18" i="4"/>
  <c r="I18" i="4"/>
  <c r="P18" i="4"/>
  <c r="H18" i="4"/>
  <c r="O18" i="4"/>
  <c r="G18" i="4"/>
  <c r="N18" i="4"/>
  <c r="M18" i="4"/>
  <c r="L18" i="4"/>
  <c r="K18" i="4"/>
  <c r="H12" i="4"/>
  <c r="K12" i="4"/>
  <c r="G12" i="4"/>
  <c r="O12" i="4"/>
  <c r="P12" i="4"/>
  <c r="P70" i="4"/>
  <c r="S34" i="4"/>
  <c r="S22" i="4"/>
  <c r="F41" i="4"/>
  <c r="AC5" i="4"/>
  <c r="AO55" i="4"/>
  <c r="T40" i="4"/>
  <c r="J69" i="4"/>
  <c r="S31" i="4"/>
  <c r="S37" i="4"/>
  <c r="AC7" i="4"/>
  <c r="AO54" i="4"/>
  <c r="X50" i="4"/>
  <c r="AD50" i="4" s="1"/>
  <c r="AI50" i="4" s="1"/>
  <c r="X51" i="4"/>
  <c r="AD51" i="4" s="1"/>
  <c r="AI51" i="4" s="1"/>
  <c r="V30" i="4"/>
  <c r="X48" i="4"/>
  <c r="AD48" i="4" s="1"/>
  <c r="Y50" i="4"/>
  <c r="Y51" i="4"/>
  <c r="R41" i="4"/>
  <c r="L12" i="4"/>
  <c r="Y48" i="4"/>
  <c r="P68" i="4"/>
  <c r="J67" i="4"/>
  <c r="AC6" i="4"/>
  <c r="F44" i="4" s="1"/>
  <c r="G44" i="4" s="1"/>
  <c r="G41" i="4"/>
  <c r="AD49" i="4"/>
  <c r="AK49" i="4" s="1"/>
  <c r="AO56" i="4"/>
  <c r="V33" i="4"/>
  <c r="J71" i="4"/>
  <c r="P72" i="4"/>
  <c r="J73" i="4"/>
  <c r="V36" i="4"/>
  <c r="AO53" i="4"/>
  <c r="M67" i="4"/>
  <c r="M69" i="4"/>
  <c r="E70" i="4"/>
  <c r="M71" i="4"/>
  <c r="E72" i="4"/>
  <c r="M73" i="4"/>
  <c r="I12" i="4"/>
  <c r="M12" i="4"/>
  <c r="Q12" i="4"/>
  <c r="J12" i="4"/>
  <c r="N12" i="4"/>
  <c r="S39" i="4"/>
  <c r="B62" i="4" s="1"/>
  <c r="P65" i="4"/>
  <c r="P67" i="4"/>
  <c r="P69" i="4"/>
  <c r="J70" i="4"/>
  <c r="P71" i="4"/>
  <c r="J72" i="4"/>
  <c r="P73" i="4"/>
  <c r="S19" i="4"/>
  <c r="Z48" i="4" l="1"/>
  <c r="AK48" i="4"/>
  <c r="AI48" i="4" s="1"/>
  <c r="AJ48" i="4" s="1"/>
  <c r="AL48" i="4" s="1"/>
  <c r="AE48" i="4"/>
  <c r="E65" i="4" s="1"/>
  <c r="AJ50" i="4"/>
  <c r="AL50" i="4" s="1"/>
  <c r="U63" i="4" a="1"/>
  <c r="U63" i="4" s="1"/>
  <c r="U62" i="4" a="1"/>
  <c r="U62" i="4" s="1"/>
  <c r="S70" i="4"/>
  <c r="H41" i="4"/>
  <c r="H42" i="4"/>
  <c r="H43" i="4"/>
  <c r="Z51" i="4"/>
  <c r="G43" i="4"/>
  <c r="K42" i="4"/>
  <c r="K41" i="4"/>
  <c r="R42" i="4"/>
  <c r="Z50" i="4"/>
  <c r="O41" i="4"/>
  <c r="AE50" i="4"/>
  <c r="M63" i="4"/>
  <c r="G42" i="4"/>
  <c r="R43" i="4"/>
  <c r="O43" i="4"/>
  <c r="O42" i="4"/>
  <c r="AE51" i="4"/>
  <c r="E68" i="4" s="1"/>
  <c r="S72" i="4"/>
  <c r="AJ51" i="4"/>
  <c r="AL51" i="4" s="1"/>
  <c r="AE49" i="4"/>
  <c r="Z49" i="4"/>
  <c r="AI49" i="4"/>
  <c r="S67" i="4"/>
  <c r="S69" i="4"/>
  <c r="S71" i="4"/>
  <c r="H44" i="4"/>
  <c r="I44" i="4" s="1"/>
  <c r="J44" i="4" s="1"/>
  <c r="K44" i="4" s="1"/>
  <c r="L44" i="4" s="1"/>
  <c r="M44" i="4" s="1"/>
  <c r="N44" i="4" s="1"/>
  <c r="O44" i="4" s="1"/>
  <c r="P44" i="4" s="1"/>
  <c r="Q44" i="4" s="1"/>
  <c r="R44" i="4" s="1"/>
  <c r="S44" i="4" s="1"/>
  <c r="S73" i="4"/>
  <c r="U61" i="4"/>
  <c r="G62" i="4"/>
  <c r="D62" i="4"/>
  <c r="M62" i="4"/>
  <c r="S22" i="2"/>
  <c r="K43" i="4" l="1"/>
  <c r="P42" i="4"/>
  <c r="P43" i="4"/>
  <c r="P41" i="4"/>
  <c r="M43" i="4"/>
  <c r="M41" i="4"/>
  <c r="M42" i="4"/>
  <c r="I43" i="4"/>
  <c r="AO49" i="4"/>
  <c r="I41" i="4"/>
  <c r="I42" i="4"/>
  <c r="V18" i="4"/>
  <c r="Q43" i="4"/>
  <c r="Q42" i="4"/>
  <c r="Q41" i="4"/>
  <c r="N41" i="4"/>
  <c r="N42" i="4"/>
  <c r="N43" i="4"/>
  <c r="J43" i="4"/>
  <c r="J42" i="4"/>
  <c r="J41" i="4"/>
  <c r="V21" i="4"/>
  <c r="AO50" i="4"/>
  <c r="L43" i="4"/>
  <c r="L42" i="4"/>
  <c r="L41" i="4"/>
  <c r="J68" i="4"/>
  <c r="M68" i="4"/>
  <c r="M66" i="4"/>
  <c r="M65" i="4"/>
  <c r="J66" i="4"/>
  <c r="J65" i="4"/>
  <c r="AT48" i="4"/>
  <c r="AJ49" i="4"/>
  <c r="AS48" i="4"/>
  <c r="F31" i="2"/>
  <c r="F34" i="2"/>
  <c r="F37" i="2"/>
  <c r="F40" i="2"/>
  <c r="AD56" i="2"/>
  <c r="AD55" i="2"/>
  <c r="AD54" i="2"/>
  <c r="AD53" i="2"/>
  <c r="C73" i="2"/>
  <c r="C72" i="2"/>
  <c r="C71" i="2"/>
  <c r="C70" i="2"/>
  <c r="C69" i="2"/>
  <c r="C68" i="2"/>
  <c r="C67" i="2"/>
  <c r="C66" i="2"/>
  <c r="C65" i="2"/>
  <c r="C56" i="2"/>
  <c r="C55" i="2"/>
  <c r="C54" i="2"/>
  <c r="C53" i="2"/>
  <c r="C52" i="2"/>
  <c r="C51" i="2"/>
  <c r="C50" i="2"/>
  <c r="C49" i="2"/>
  <c r="C48" i="2"/>
  <c r="AL49" i="4" l="1"/>
  <c r="R62" i="4" s="1"/>
  <c r="B63" i="4"/>
  <c r="S43" i="4"/>
  <c r="J62" i="4" s="1"/>
  <c r="P66" i="4" s="1"/>
  <c r="S42" i="4"/>
  <c r="S68" i="4"/>
  <c r="S65" i="4"/>
  <c r="B78" i="4"/>
  <c r="F78" i="4"/>
  <c r="F41" i="2"/>
  <c r="S19" i="2"/>
  <c r="AA6" i="2"/>
  <c r="Y50" i="2" s="1"/>
  <c r="AA7" i="2"/>
  <c r="AC8" i="2" s="1"/>
  <c r="AC9" i="2" s="1"/>
  <c r="AM48" i="2"/>
  <c r="AA49" i="2"/>
  <c r="AA50" i="2"/>
  <c r="AA51" i="2"/>
  <c r="AA52" i="2"/>
  <c r="AA53" i="2"/>
  <c r="AA54" i="2"/>
  <c r="AA55" i="2"/>
  <c r="AB50" i="2"/>
  <c r="AC50" i="2" s="1"/>
  <c r="AG50" i="2"/>
  <c r="AH50" i="2" s="1"/>
  <c r="AM50" i="2"/>
  <c r="AN50" i="2"/>
  <c r="AP50" i="2"/>
  <c r="AQ50" i="2"/>
  <c r="AR50" i="2"/>
  <c r="AB51" i="2"/>
  <c r="AC51" i="2" s="1"/>
  <c r="AG51" i="2"/>
  <c r="AH51" i="2" s="1"/>
  <c r="AM51" i="2"/>
  <c r="AN51" i="2"/>
  <c r="AP51" i="2"/>
  <c r="AQ51" i="2"/>
  <c r="AR51" i="2"/>
  <c r="AB52" i="2"/>
  <c r="AC52" i="2" s="1"/>
  <c r="AG52" i="2"/>
  <c r="AH52" i="2" s="1"/>
  <c r="Y52" i="2"/>
  <c r="AM52" i="2"/>
  <c r="AN52" i="2"/>
  <c r="AP52" i="2"/>
  <c r="AQ52" i="2"/>
  <c r="AR52" i="2"/>
  <c r="AB53" i="2"/>
  <c r="AC53" i="2" s="1"/>
  <c r="AG53" i="2"/>
  <c r="AH53" i="2" s="1"/>
  <c r="Y53" i="2"/>
  <c r="AM53" i="2"/>
  <c r="K30" i="2" s="1"/>
  <c r="AN53" i="2"/>
  <c r="N30" i="2" s="1"/>
  <c r="AP53" i="2"/>
  <c r="AQ53" i="2"/>
  <c r="AR53" i="2"/>
  <c r="AB54" i="2"/>
  <c r="AC54" i="2" s="1"/>
  <c r="AG54" i="2"/>
  <c r="AH54" i="2" s="1"/>
  <c r="Y54" i="2"/>
  <c r="AM54" i="2"/>
  <c r="K33" i="2" s="1"/>
  <c r="AN54" i="2"/>
  <c r="J33" i="2" s="1"/>
  <c r="AP54" i="2"/>
  <c r="AQ54" i="2"/>
  <c r="AR54" i="2"/>
  <c r="AB55" i="2"/>
  <c r="AC55" i="2" s="1"/>
  <c r="AG55" i="2"/>
  <c r="AH55" i="2" s="1"/>
  <c r="Y55" i="2"/>
  <c r="AM55" i="2"/>
  <c r="K36" i="2" s="1"/>
  <c r="K39" i="2" s="1"/>
  <c r="AN55" i="2"/>
  <c r="N36" i="2" s="1"/>
  <c r="N39" i="2" s="1"/>
  <c r="AP55" i="2"/>
  <c r="AQ55" i="2"/>
  <c r="AR55" i="2"/>
  <c r="AB56" i="2"/>
  <c r="AC56" i="2" s="1"/>
  <c r="AG56" i="2"/>
  <c r="AH56" i="2" s="1"/>
  <c r="Y56" i="2"/>
  <c r="AM56" i="2"/>
  <c r="AN56" i="2"/>
  <c r="AP56" i="2"/>
  <c r="AQ56" i="2"/>
  <c r="AR56" i="2"/>
  <c r="V23" i="2"/>
  <c r="V26" i="2"/>
  <c r="V29" i="2"/>
  <c r="V32" i="2"/>
  <c r="AA48" i="2"/>
  <c r="G40" i="2"/>
  <c r="R40" i="2"/>
  <c r="Q40" i="2"/>
  <c r="P40" i="2"/>
  <c r="O40" i="2"/>
  <c r="N40" i="2"/>
  <c r="M40" i="2"/>
  <c r="L40" i="2"/>
  <c r="K40" i="2"/>
  <c r="J40" i="2"/>
  <c r="I40" i="2"/>
  <c r="H40" i="2"/>
  <c r="R37" i="2"/>
  <c r="Q37" i="2"/>
  <c r="P37" i="2"/>
  <c r="O37" i="2"/>
  <c r="N37" i="2"/>
  <c r="M37" i="2"/>
  <c r="L37" i="2"/>
  <c r="K37" i="2"/>
  <c r="J37" i="2"/>
  <c r="I37" i="2"/>
  <c r="H37" i="2"/>
  <c r="G37" i="2"/>
  <c r="R34" i="2"/>
  <c r="Q34" i="2"/>
  <c r="P34" i="2"/>
  <c r="O34" i="2"/>
  <c r="N34" i="2"/>
  <c r="M34" i="2"/>
  <c r="L34" i="2"/>
  <c r="K34" i="2"/>
  <c r="J34" i="2"/>
  <c r="I34" i="2"/>
  <c r="H34" i="2"/>
  <c r="G34" i="2"/>
  <c r="R31" i="2"/>
  <c r="Q31" i="2"/>
  <c r="P31" i="2"/>
  <c r="O31" i="2"/>
  <c r="N31" i="2"/>
  <c r="M31" i="2"/>
  <c r="L31" i="2"/>
  <c r="K31" i="2"/>
  <c r="J31" i="2"/>
  <c r="I31" i="2"/>
  <c r="H31" i="2"/>
  <c r="G31" i="2"/>
  <c r="AN48" i="2"/>
  <c r="F13" i="2"/>
  <c r="G12" i="2" s="1"/>
  <c r="AA5" i="2"/>
  <c r="AR49" i="2"/>
  <c r="AQ49" i="2"/>
  <c r="AP49" i="2"/>
  <c r="AN49" i="2"/>
  <c r="AM49" i="2"/>
  <c r="AB49" i="2"/>
  <c r="AC49" i="2" s="1"/>
  <c r="AR48" i="2"/>
  <c r="AQ48" i="2"/>
  <c r="AP48" i="2"/>
  <c r="K78" i="4" l="1"/>
  <c r="P78" i="4" s="1"/>
  <c r="S66" i="4"/>
  <c r="L27" i="2"/>
  <c r="M27" i="2"/>
  <c r="N27" i="2"/>
  <c r="O27" i="2"/>
  <c r="H27" i="2"/>
  <c r="P27" i="2"/>
  <c r="K27" i="2"/>
  <c r="G27" i="2"/>
  <c r="I27" i="2"/>
  <c r="Q27" i="2"/>
  <c r="J27" i="2"/>
  <c r="R27" i="2"/>
  <c r="G24" i="2"/>
  <c r="O24" i="2"/>
  <c r="H24" i="2"/>
  <c r="P24" i="2"/>
  <c r="I24" i="2"/>
  <c r="Q24" i="2"/>
  <c r="N24" i="2"/>
  <c r="J24" i="2"/>
  <c r="R24" i="2"/>
  <c r="K24" i="2"/>
  <c r="L24" i="2"/>
  <c r="M24" i="2"/>
  <c r="X49" i="2"/>
  <c r="X52" i="2"/>
  <c r="G21" i="2"/>
  <c r="G18" i="2"/>
  <c r="G15" i="2"/>
  <c r="I18" i="2"/>
  <c r="N21" i="2"/>
  <c r="J21" i="2"/>
  <c r="AD49" i="2"/>
  <c r="AG49" i="2"/>
  <c r="AH49" i="2" s="1"/>
  <c r="S16" i="2"/>
  <c r="S25" i="2"/>
  <c r="S28" i="2"/>
  <c r="S31" i="2"/>
  <c r="S34" i="2"/>
  <c r="S37" i="2"/>
  <c r="T40" i="2"/>
  <c r="R30" i="2"/>
  <c r="J30" i="2"/>
  <c r="N33" i="2"/>
  <c r="R36" i="2"/>
  <c r="R39" i="2" s="1"/>
  <c r="J36" i="2"/>
  <c r="J39" i="2" s="1"/>
  <c r="I30" i="2"/>
  <c r="Q30" i="2"/>
  <c r="M30" i="2"/>
  <c r="Q33" i="2"/>
  <c r="M33" i="2"/>
  <c r="I33" i="2"/>
  <c r="Q36" i="2"/>
  <c r="Q39" i="2" s="1"/>
  <c r="M36" i="2"/>
  <c r="M39" i="2" s="1"/>
  <c r="I36" i="2"/>
  <c r="I39" i="2" s="1"/>
  <c r="P30" i="2"/>
  <c r="L30" i="2"/>
  <c r="H30" i="2"/>
  <c r="P33" i="2"/>
  <c r="L33" i="2"/>
  <c r="H33" i="2"/>
  <c r="P36" i="2"/>
  <c r="P39" i="2" s="1"/>
  <c r="L36" i="2"/>
  <c r="L39" i="2" s="1"/>
  <c r="H36" i="2"/>
  <c r="H39" i="2" s="1"/>
  <c r="R33" i="2"/>
  <c r="O30" i="2"/>
  <c r="O33" i="2"/>
  <c r="O36" i="2"/>
  <c r="O39" i="2" s="1"/>
  <c r="X53" i="2"/>
  <c r="X55" i="2"/>
  <c r="X56" i="2"/>
  <c r="AE56" i="2" s="1"/>
  <c r="X54" i="2"/>
  <c r="AE54" i="2" s="1"/>
  <c r="AJ56" i="2"/>
  <c r="AE55" i="2"/>
  <c r="AJ53" i="2"/>
  <c r="AE53" i="2"/>
  <c r="P72" i="2"/>
  <c r="P71" i="2"/>
  <c r="P70" i="2"/>
  <c r="M72" i="2"/>
  <c r="M71" i="2"/>
  <c r="M70" i="2"/>
  <c r="J72" i="2"/>
  <c r="J71" i="2"/>
  <c r="J70" i="2"/>
  <c r="Y51" i="2"/>
  <c r="X51" i="2"/>
  <c r="X50" i="2"/>
  <c r="H12" i="2"/>
  <c r="L12" i="2"/>
  <c r="L15" i="2" s="1"/>
  <c r="P12" i="2"/>
  <c r="P15" i="2" s="1"/>
  <c r="I12" i="2"/>
  <c r="I15" i="2" s="1"/>
  <c r="M12" i="2"/>
  <c r="M15" i="2" s="1"/>
  <c r="Q12" i="2"/>
  <c r="Q15" i="2" s="1"/>
  <c r="J12" i="2"/>
  <c r="J15" i="2" s="1"/>
  <c r="N12" i="2"/>
  <c r="N15" i="2" s="1"/>
  <c r="R12" i="2"/>
  <c r="R15" i="2" s="1"/>
  <c r="K12" i="2"/>
  <c r="K15" i="2" s="1"/>
  <c r="O12" i="2"/>
  <c r="O15" i="2" s="1"/>
  <c r="AC6" i="2"/>
  <c r="AC5" i="2"/>
  <c r="AC7" i="2"/>
  <c r="X48" i="2"/>
  <c r="Y49" i="2"/>
  <c r="Y48" i="2"/>
  <c r="V39" i="2" l="1"/>
  <c r="H18" i="2"/>
  <c r="V18" i="2" s="1"/>
  <c r="H15" i="2"/>
  <c r="V15" i="2" s="1"/>
  <c r="Q21" i="2"/>
  <c r="N18" i="2"/>
  <c r="P18" i="2"/>
  <c r="AD50" i="2"/>
  <c r="AK50" i="2" s="1"/>
  <c r="I21" i="2"/>
  <c r="V21" i="2" s="1"/>
  <c r="M18" i="2"/>
  <c r="O18" i="2"/>
  <c r="K21" i="2"/>
  <c r="L18" i="2"/>
  <c r="P21" i="2"/>
  <c r="K18" i="2"/>
  <c r="H21" i="2"/>
  <c r="R18" i="2"/>
  <c r="L21" i="2"/>
  <c r="M21" i="2"/>
  <c r="J18" i="2"/>
  <c r="AD52" i="2"/>
  <c r="Z52" i="2" s="1"/>
  <c r="R21" i="2"/>
  <c r="O21" i="2"/>
  <c r="Q18" i="2"/>
  <c r="AK49" i="2"/>
  <c r="AE49" i="2"/>
  <c r="E66" i="2" s="1"/>
  <c r="AD48" i="2"/>
  <c r="AK48" i="2" s="1"/>
  <c r="Z49" i="2"/>
  <c r="AI49" i="2"/>
  <c r="M63" i="2"/>
  <c r="F44" i="2"/>
  <c r="G44" i="2" s="1"/>
  <c r="AJ55" i="2"/>
  <c r="AE50" i="2"/>
  <c r="E67" i="2" s="1"/>
  <c r="AO52" i="2"/>
  <c r="P69" i="2" s="1"/>
  <c r="AO55" i="2"/>
  <c r="V27" i="2"/>
  <c r="AO56" i="2"/>
  <c r="P73" i="2" s="1"/>
  <c r="S39" i="2"/>
  <c r="B62" i="2" s="1"/>
  <c r="AO54" i="2"/>
  <c r="AO53" i="2"/>
  <c r="V33" i="2"/>
  <c r="V30" i="2"/>
  <c r="G43" i="2"/>
  <c r="G41" i="2"/>
  <c r="AD51" i="2"/>
  <c r="AK51" i="2" s="1"/>
  <c r="S72" i="2"/>
  <c r="AJ54" i="2"/>
  <c r="G42" i="2"/>
  <c r="S70" i="2"/>
  <c r="S71" i="2"/>
  <c r="AI50" i="2" l="1"/>
  <c r="AK52" i="2"/>
  <c r="AI52" i="2" s="1"/>
  <c r="AJ52" i="2" s="1"/>
  <c r="AL52" i="2" s="1"/>
  <c r="Z50" i="2"/>
  <c r="AE52" i="2"/>
  <c r="E69" i="2" s="1"/>
  <c r="U63" i="2" a="1"/>
  <c r="U63" i="2" s="1"/>
  <c r="U62" i="2" a="1"/>
  <c r="U62" i="2" s="1"/>
  <c r="U61" i="2"/>
  <c r="Z48" i="2"/>
  <c r="AE48" i="2"/>
  <c r="E65" i="2" s="1"/>
  <c r="H41" i="2"/>
  <c r="AI51" i="2"/>
  <c r="I41" i="2"/>
  <c r="AE51" i="2"/>
  <c r="E68" i="2" s="1"/>
  <c r="Z51" i="2"/>
  <c r="H44" i="2"/>
  <c r="I44" i="2" s="1"/>
  <c r="J44" i="2" s="1"/>
  <c r="J41" i="2"/>
  <c r="AI48" i="2"/>
  <c r="H43" i="2"/>
  <c r="H42" i="2"/>
  <c r="J43" i="2"/>
  <c r="J42" i="2"/>
  <c r="I43" i="2"/>
  <c r="V24" i="2"/>
  <c r="AO51" i="2"/>
  <c r="P68" i="2" s="1"/>
  <c r="AJ49" i="2"/>
  <c r="AL49" i="2" s="1"/>
  <c r="AJ50" i="2" l="1"/>
  <c r="AL50" i="2"/>
  <c r="AJ51" i="2"/>
  <c r="AL51" i="2" s="1"/>
  <c r="K44" i="2"/>
  <c r="AJ48" i="2"/>
  <c r="AL48" i="2" s="1"/>
  <c r="I42" i="2"/>
  <c r="R62" i="2" l="1"/>
  <c r="L44" i="2"/>
  <c r="K41" i="2"/>
  <c r="L41" i="2" l="1"/>
  <c r="L43" i="2"/>
  <c r="L42" i="2"/>
  <c r="M44" i="2"/>
  <c r="M41" i="2" l="1"/>
  <c r="K42" i="2"/>
  <c r="K43" i="2"/>
  <c r="N41" i="2"/>
  <c r="N44" i="2" l="1"/>
  <c r="O44" i="2" s="1"/>
  <c r="N42" i="2"/>
  <c r="N43" i="2"/>
  <c r="O41" i="2"/>
  <c r="M43" i="2" l="1"/>
  <c r="M42" i="2"/>
  <c r="P41" i="2"/>
  <c r="P44" i="2" l="1"/>
  <c r="Q44" i="2" s="1"/>
  <c r="P43" i="2"/>
  <c r="P42" i="2"/>
  <c r="Q41" i="2"/>
  <c r="O42" i="2" l="1"/>
  <c r="O43" i="2"/>
  <c r="R44" i="2"/>
  <c r="S44" i="2" s="1"/>
  <c r="R41" i="2" l="1"/>
  <c r="AO50" i="2"/>
  <c r="AO49" i="2"/>
  <c r="R42" i="2"/>
  <c r="R43" i="2"/>
  <c r="AO48" i="2"/>
  <c r="AS48" i="2" l="1"/>
  <c r="Q42" i="2"/>
  <c r="S42" i="2" s="1"/>
  <c r="Q43" i="2"/>
  <c r="S43" i="2" s="1"/>
  <c r="B63" i="2" l="1"/>
  <c r="AT48" i="2"/>
  <c r="M62" i="2" l="1"/>
  <c r="P67" i="2"/>
  <c r="P66" i="2"/>
  <c r="M73" i="2"/>
  <c r="J73" i="2"/>
  <c r="D62" i="2" l="1"/>
  <c r="J69" i="2" s="1"/>
  <c r="J62" i="2"/>
  <c r="P65" i="2" s="1"/>
  <c r="K78" i="2" s="1"/>
  <c r="G62" i="2"/>
  <c r="M69" i="2" s="1"/>
  <c r="S73" i="2"/>
  <c r="J68" i="2" l="1"/>
  <c r="J65" i="2"/>
  <c r="J67" i="2"/>
  <c r="J66" i="2"/>
  <c r="S69" i="2"/>
  <c r="M68" i="2"/>
  <c r="S68" i="2" s="1"/>
  <c r="M67" i="2"/>
  <c r="M65" i="2"/>
  <c r="M66" i="2"/>
  <c r="B78" i="2" l="1"/>
  <c r="S67" i="2"/>
  <c r="S66" i="2"/>
  <c r="F78" i="2"/>
  <c r="S65" i="2"/>
  <c r="P7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<sst xmlns="http://schemas.openxmlformats.org/spreadsheetml/2006/main" count="309" uniqueCount="110">
  <si>
    <t>【保険料率等】</t>
    <rPh sb="1" eb="3">
      <t>ホケン</t>
    </rPh>
    <rPh sb="3" eb="5">
      <t>リョウリツ</t>
    </rPh>
    <rPh sb="5" eb="6">
      <t>トウ</t>
    </rPh>
    <phoneticPr fontId="2"/>
  </si>
  <si>
    <t>所得割率</t>
    <rPh sb="0" eb="2">
      <t>ショトク</t>
    </rPh>
    <rPh sb="2" eb="3">
      <t>ワリ</t>
    </rPh>
    <rPh sb="3" eb="4">
      <t>リツ</t>
    </rPh>
    <phoneticPr fontId="2"/>
  </si>
  <si>
    <t>均等割額</t>
    <rPh sb="0" eb="3">
      <t>キントウワリ</t>
    </rPh>
    <rPh sb="3" eb="4">
      <t>ガク</t>
    </rPh>
    <phoneticPr fontId="2"/>
  </si>
  <si>
    <t>平等割額</t>
    <rPh sb="0" eb="2">
      <t>ビョウドウ</t>
    </rPh>
    <rPh sb="2" eb="3">
      <t>ワリ</t>
    </rPh>
    <rPh sb="3" eb="4">
      <t>ガク</t>
    </rPh>
    <phoneticPr fontId="2"/>
  </si>
  <si>
    <t>賦課限度額</t>
    <rPh sb="0" eb="2">
      <t>フカ</t>
    </rPh>
    <rPh sb="2" eb="4">
      <t>ゲンド</t>
    </rPh>
    <rPh sb="4" eb="5">
      <t>ガク</t>
    </rPh>
    <phoneticPr fontId="2"/>
  </si>
  <si>
    <t>医療分</t>
    <rPh sb="0" eb="2">
      <t>イリョウ</t>
    </rPh>
    <rPh sb="2" eb="3">
      <t>ブン</t>
    </rPh>
    <phoneticPr fontId="2"/>
  </si>
  <si>
    <t>支援金分</t>
    <rPh sb="0" eb="3">
      <t>シエンキン</t>
    </rPh>
    <rPh sb="3" eb="4">
      <t>ブン</t>
    </rPh>
    <phoneticPr fontId="2"/>
  </si>
  <si>
    <t>介護分</t>
    <rPh sb="0" eb="2">
      <t>カイゴ</t>
    </rPh>
    <rPh sb="2" eb="3">
      <t>ブン</t>
    </rPh>
    <phoneticPr fontId="2"/>
  </si>
  <si>
    <t>4/1年齢</t>
    <rPh sb="3" eb="5">
      <t>ネンレイ</t>
    </rPh>
    <phoneticPr fontId="2"/>
  </si>
  <si>
    <t>年金特別控除</t>
    <rPh sb="0" eb="2">
      <t>ネンキン</t>
    </rPh>
    <rPh sb="2" eb="4">
      <t>トクベツ</t>
    </rPh>
    <rPh sb="4" eb="6">
      <t>コウジョ</t>
    </rPh>
    <phoneticPr fontId="2"/>
  </si>
  <si>
    <t>給与所得者等</t>
    <rPh sb="0" eb="2">
      <t>キュウヨ</t>
    </rPh>
    <rPh sb="2" eb="4">
      <t>ショトク</t>
    </rPh>
    <rPh sb="4" eb="5">
      <t>シャ</t>
    </rPh>
    <rPh sb="5" eb="6">
      <t>トウ</t>
    </rPh>
    <phoneticPr fontId="2"/>
  </si>
  <si>
    <t>医療・支援月数</t>
    <rPh sb="0" eb="2">
      <t>イリョウ</t>
    </rPh>
    <rPh sb="3" eb="5">
      <t>シエン</t>
    </rPh>
    <rPh sb="5" eb="7">
      <t>ツキスウ</t>
    </rPh>
    <phoneticPr fontId="2"/>
  </si>
  <si>
    <t>介護月数</t>
    <rPh sb="0" eb="2">
      <t>カイゴ</t>
    </rPh>
    <rPh sb="2" eb="4">
      <t>ツキスウ</t>
    </rPh>
    <phoneticPr fontId="2"/>
  </si>
  <si>
    <t>世帯主</t>
    <rPh sb="0" eb="2">
      <t>セタイ</t>
    </rPh>
    <rPh sb="2" eb="3">
      <t>ヌシ</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</si>
  <si>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</si>
  <si>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</si>
  <si>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</si>
  <si>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</si>
  <si>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</si>
  <si>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世帯員⑥</t>
    <rPh sb="0" eb="3">
      <t>セタイイン</t>
    </rPh>
    <phoneticPr fontId="2"/>
  </si>
  <si>
    <t>世帯員⑦</t>
    <rPh sb="0" eb="3">
      <t>セタイイン</t>
    </rPh>
    <phoneticPr fontId="2"/>
  </si>
  <si>
    <t>世帯員⑧</t>
    <rPh sb="0" eb="3">
      <t>セタイイン</t>
    </rPh>
    <phoneticPr fontId="2"/>
  </si>
  <si>
    <t>【保険料の内訳】</t>
    <rPh sb="1" eb="4">
      <t>ホケンリョウ</t>
    </rPh>
    <rPh sb="5" eb="7">
      <t>ウチワケ</t>
    </rPh>
    <phoneticPr fontId="2"/>
  </si>
  <si>
    <t>後期支援分</t>
    <rPh sb="0" eb="2">
      <t>コウキ</t>
    </rPh>
    <rPh sb="2" eb="4">
      <t>シエン</t>
    </rPh>
    <rPh sb="4" eb="5">
      <t>ブン</t>
    </rPh>
    <phoneticPr fontId="2"/>
  </si>
  <si>
    <t>軽減割合</t>
    <rPh sb="0" eb="2">
      <t>ケイゲン</t>
    </rPh>
    <rPh sb="2" eb="4">
      <t>ワリアイ</t>
    </rPh>
    <phoneticPr fontId="2"/>
  </si>
  <si>
    <t>軽減
基準額</t>
    <rPh sb="0" eb="2">
      <t>ケイゲン</t>
    </rPh>
    <rPh sb="3" eb="5">
      <t>キジュン</t>
    </rPh>
    <rPh sb="5" eb="6">
      <t>ガク</t>
    </rPh>
    <phoneticPr fontId="2"/>
  </si>
  <si>
    <t>軽減判定所得</t>
    <rPh sb="0" eb="2">
      <t>ケイゲン</t>
    </rPh>
    <rPh sb="2" eb="4">
      <t>ハンテイ</t>
    </rPh>
    <rPh sb="4" eb="6">
      <t>ショトク</t>
    </rPh>
    <phoneticPr fontId="2"/>
  </si>
  <si>
    <t>7割</t>
    <rPh sb="1" eb="2">
      <t>ワリ</t>
    </rPh>
    <phoneticPr fontId="2"/>
  </si>
  <si>
    <t>5割</t>
    <rPh sb="1" eb="2">
      <t>ワリ</t>
    </rPh>
    <phoneticPr fontId="2"/>
  </si>
  <si>
    <t>2割</t>
    <rPh sb="1" eb="2">
      <t>ワリ</t>
    </rPh>
    <phoneticPr fontId="2"/>
  </si>
  <si>
    <t>算定基準額</t>
    <rPh sb="0" eb="2">
      <t>サンテイ</t>
    </rPh>
    <rPh sb="2" eb="4">
      <t>キジュン</t>
    </rPh>
    <rPh sb="4" eb="5">
      <t>ガク</t>
    </rPh>
    <phoneticPr fontId="2"/>
  </si>
  <si>
    <t>合計</t>
    <rPh sb="0" eb="2">
      <t>ゴウケイ</t>
    </rPh>
    <phoneticPr fontId="2"/>
  </si>
  <si>
    <t>【年間保険料の試算結果】</t>
    <rPh sb="1" eb="3">
      <t>ネンカン</t>
    </rPh>
    <rPh sb="3" eb="6">
      <t>ホケンリョウ</t>
    </rPh>
    <rPh sb="7" eb="9">
      <t>シサン</t>
    </rPh>
    <rPh sb="9" eb="11">
      <t>ケッカ</t>
    </rPh>
    <phoneticPr fontId="2"/>
  </si>
  <si>
    <t>介護取得日</t>
    <rPh sb="0" eb="2">
      <t>カイゴ</t>
    </rPh>
    <rPh sb="2" eb="4">
      <t>シュトク</t>
    </rPh>
    <rPh sb="4" eb="5">
      <t>ビ</t>
    </rPh>
    <phoneticPr fontId="2"/>
  </si>
  <si>
    <t>介護喪失日</t>
    <rPh sb="0" eb="2">
      <t>カイゴ</t>
    </rPh>
    <rPh sb="2" eb="4">
      <t>ソウシツ</t>
    </rPh>
    <rPh sb="4" eb="5">
      <t>ビ</t>
    </rPh>
    <phoneticPr fontId="2"/>
  </si>
  <si>
    <t>※平等割額は、加入者数で按分して計算しています。</t>
    <rPh sb="1" eb="3">
      <t>ビョウドウ</t>
    </rPh>
    <rPh sb="3" eb="4">
      <t>ワリ</t>
    </rPh>
    <rPh sb="4" eb="5">
      <t>ガク</t>
    </rPh>
    <rPh sb="7" eb="10">
      <t>カニュウシャ</t>
    </rPh>
    <rPh sb="10" eb="11">
      <t>スウ</t>
    </rPh>
    <rPh sb="12" eb="14">
      <t>アンブン</t>
    </rPh>
    <rPh sb="16" eb="18">
      <t>ケイサン</t>
    </rPh>
    <phoneticPr fontId="2"/>
  </si>
  <si>
    <t>後期加入日</t>
    <rPh sb="0" eb="2">
      <t>コウキ</t>
    </rPh>
    <rPh sb="2" eb="5">
      <t>カニュウビ</t>
    </rPh>
    <phoneticPr fontId="2"/>
  </si>
  <si>
    <t>特定世帯喪失日</t>
    <rPh sb="0" eb="2">
      <t>トクテイ</t>
    </rPh>
    <rPh sb="2" eb="4">
      <t>セタイ</t>
    </rPh>
    <rPh sb="4" eb="6">
      <t>ソウシツ</t>
    </rPh>
    <rPh sb="6" eb="7">
      <t>ビ</t>
    </rPh>
    <phoneticPr fontId="2"/>
  </si>
  <si>
    <t>特定継続世帯喪失日</t>
    <rPh sb="0" eb="2">
      <t>トクテイ</t>
    </rPh>
    <rPh sb="2" eb="4">
      <t>ケイゾク</t>
    </rPh>
    <rPh sb="4" eb="6">
      <t>セタイ</t>
    </rPh>
    <rPh sb="6" eb="8">
      <t>ソウシツ</t>
    </rPh>
    <rPh sb="8" eb="9">
      <t>ビ</t>
    </rPh>
    <phoneticPr fontId="2"/>
  </si>
  <si>
    <t>特定世帯月数</t>
    <rPh sb="0" eb="2">
      <t>トクテイ</t>
    </rPh>
    <rPh sb="2" eb="4">
      <t>セタイ</t>
    </rPh>
    <rPh sb="4" eb="6">
      <t>ツキスウ</t>
    </rPh>
    <phoneticPr fontId="2"/>
  </si>
  <si>
    <t>特定継続世帯月数</t>
    <rPh sb="0" eb="2">
      <t>トクテイ</t>
    </rPh>
    <rPh sb="2" eb="4">
      <t>ケイゾク</t>
    </rPh>
    <rPh sb="4" eb="6">
      <t>セタイ</t>
    </rPh>
    <rPh sb="6" eb="8">
      <t>ツキスウ</t>
    </rPh>
    <phoneticPr fontId="2"/>
  </si>
  <si>
    <t>年金収入</t>
    <rPh sb="0" eb="2">
      <t>ネンキン</t>
    </rPh>
    <rPh sb="2" eb="4">
      <t>シュウニュウ</t>
    </rPh>
    <phoneticPr fontId="2"/>
  </si>
  <si>
    <t>1/1年齢</t>
    <rPh sb="3" eb="5">
      <t>ネンレイ</t>
    </rPh>
    <phoneticPr fontId="2"/>
  </si>
  <si>
    <t>軽減判定用所得</t>
    <rPh sb="0" eb="2">
      <t>ケイゲン</t>
    </rPh>
    <rPh sb="2" eb="5">
      <t>ハンテイヨウ</t>
    </rPh>
    <rPh sb="5" eb="7">
      <t>ショトク</t>
    </rPh>
    <phoneticPr fontId="2"/>
  </si>
  <si>
    <t>給与所得（所得割用）</t>
    <rPh sb="0" eb="2">
      <t>キュウヨ</t>
    </rPh>
    <rPh sb="2" eb="4">
      <t>ショトク</t>
    </rPh>
    <rPh sb="5" eb="7">
      <t>ショトク</t>
    </rPh>
    <rPh sb="7" eb="9">
      <t>ワリヨウ</t>
    </rPh>
    <phoneticPr fontId="2"/>
  </si>
  <si>
    <t>給与所得（所得割用）
（非自発的失業適用後）</t>
    <rPh sb="0" eb="4">
      <t>キュウヨショトク</t>
    </rPh>
    <rPh sb="5" eb="7">
      <t>ショトク</t>
    </rPh>
    <rPh sb="7" eb="8">
      <t>ワリ</t>
    </rPh>
    <rPh sb="8" eb="9">
      <t>ヨウ</t>
    </rPh>
    <rPh sb="12" eb="13">
      <t>ヒ</t>
    </rPh>
    <rPh sb="13" eb="16">
      <t>ジハツテキ</t>
    </rPh>
    <rPh sb="16" eb="18">
      <t>シツギョウ</t>
    </rPh>
    <rPh sb="18" eb="20">
      <t>テキヨウ</t>
    </rPh>
    <rPh sb="20" eb="21">
      <t>ゴ</t>
    </rPh>
    <phoneticPr fontId="2"/>
  </si>
  <si>
    <t>各種基準日</t>
    <rPh sb="0" eb="2">
      <t>カクシュ</t>
    </rPh>
    <rPh sb="2" eb="5">
      <t>キジュンビ</t>
    </rPh>
    <phoneticPr fontId="2"/>
  </si>
  <si>
    <t>１月１日年齢判定</t>
    <rPh sb="1" eb="2">
      <t>ガツ</t>
    </rPh>
    <rPh sb="3" eb="4">
      <t>ヒ</t>
    </rPh>
    <rPh sb="4" eb="6">
      <t>ネンレイ</t>
    </rPh>
    <rPh sb="6" eb="8">
      <t>ハンテイ</t>
    </rPh>
    <phoneticPr fontId="2"/>
  </si>
  <si>
    <t>年度初め</t>
    <rPh sb="0" eb="2">
      <t>ネンド</t>
    </rPh>
    <rPh sb="2" eb="3">
      <t>ハジ</t>
    </rPh>
    <phoneticPr fontId="2"/>
  </si>
  <si>
    <t>年度末</t>
    <rPh sb="0" eb="3">
      <t>ネンドマツ</t>
    </rPh>
    <phoneticPr fontId="2"/>
  </si>
  <si>
    <t>特定世帯移行日</t>
    <rPh sb="0" eb="2">
      <t>トクテイ</t>
    </rPh>
    <rPh sb="2" eb="4">
      <t>セタイ</t>
    </rPh>
    <rPh sb="4" eb="6">
      <t>イコウ</t>
    </rPh>
    <rPh sb="6" eb="7">
      <t>ビ</t>
    </rPh>
    <phoneticPr fontId="2"/>
  </si>
  <si>
    <t>特定継続世帯移行日</t>
    <rPh sb="0" eb="2">
      <t>トクテイ</t>
    </rPh>
    <rPh sb="2" eb="4">
      <t>ケイゾク</t>
    </rPh>
    <rPh sb="4" eb="6">
      <t>セタイ</t>
    </rPh>
    <rPh sb="6" eb="8">
      <t>イコウ</t>
    </rPh>
    <rPh sb="8" eb="9">
      <t>ビ</t>
    </rPh>
    <phoneticPr fontId="2"/>
  </si>
  <si>
    <t>特定継続世帯終了日</t>
    <rPh sb="0" eb="2">
      <t>トクテイ</t>
    </rPh>
    <rPh sb="2" eb="4">
      <t>ケイゾク</t>
    </rPh>
    <rPh sb="4" eb="6">
      <t>セタイ</t>
    </rPh>
    <rPh sb="6" eb="9">
      <t>シュウリョウビ</t>
    </rPh>
    <phoneticPr fontId="2"/>
  </si>
  <si>
    <t>特定継続世帯終了年度末</t>
    <rPh sb="0" eb="2">
      <t>トクテイ</t>
    </rPh>
    <rPh sb="2" eb="4">
      <t>ケイゾク</t>
    </rPh>
    <rPh sb="4" eb="6">
      <t>セタイ</t>
    </rPh>
    <rPh sb="6" eb="8">
      <t>シュウリョウ</t>
    </rPh>
    <rPh sb="8" eb="10">
      <t>ネンド</t>
    </rPh>
    <rPh sb="10" eb="11">
      <t>マツ</t>
    </rPh>
    <phoneticPr fontId="2"/>
  </si>
  <si>
    <t>特定世帯終了年度末</t>
    <rPh sb="0" eb="2">
      <t>トクテイ</t>
    </rPh>
    <rPh sb="2" eb="4">
      <t>セタイ</t>
    </rPh>
    <rPh sb="4" eb="6">
      <t>シュウリョウ</t>
    </rPh>
    <rPh sb="6" eb="8">
      <t>ネンド</t>
    </rPh>
    <rPh sb="8" eb="9">
      <t>マツ</t>
    </rPh>
    <phoneticPr fontId="2"/>
  </si>
  <si>
    <t>給与所得（軽減判定用）
（非自発的失業適用後）</t>
    <rPh sb="0" eb="4">
      <t>キュウヨショトク</t>
    </rPh>
    <rPh sb="5" eb="7">
      <t>ケイゲン</t>
    </rPh>
    <rPh sb="7" eb="9">
      <t>ハンテイ</t>
    </rPh>
    <rPh sb="9" eb="10">
      <t>ヨウ</t>
    </rPh>
    <rPh sb="10" eb="11">
      <t>ショヨウ</t>
    </rPh>
    <rPh sb="13" eb="14">
      <t>ヒ</t>
    </rPh>
    <rPh sb="14" eb="17">
      <t>ジハツテキ</t>
    </rPh>
    <rPh sb="17" eb="19">
      <t>シツギョウ</t>
    </rPh>
    <rPh sb="19" eb="21">
      <t>テキヨウ</t>
    </rPh>
    <rPh sb="21" eb="22">
      <t>ゴ</t>
    </rPh>
    <phoneticPr fontId="2"/>
  </si>
  <si>
    <t>内、事業専従者給与収入</t>
    <rPh sb="0" eb="1">
      <t>ウチ</t>
    </rPh>
    <rPh sb="2" eb="4">
      <t>ジギョウ</t>
    </rPh>
    <rPh sb="4" eb="7">
      <t>センジュウシャ</t>
    </rPh>
    <rPh sb="7" eb="9">
      <t>キュウヨ</t>
    </rPh>
    <rPh sb="9" eb="11">
      <t>シュウニュウ</t>
    </rPh>
    <phoneticPr fontId="2"/>
  </si>
  <si>
    <t>氏名</t>
    <rPh sb="0" eb="2">
      <t>シメイ</t>
    </rPh>
    <phoneticPr fontId="2"/>
  </si>
  <si>
    <t>特定世帯判定</t>
    <rPh sb="0" eb="2">
      <t>トクテイ</t>
    </rPh>
    <rPh sb="2" eb="4">
      <t>セタイ</t>
    </rPh>
    <rPh sb="4" eb="6">
      <t>ハンテイ</t>
    </rPh>
    <phoneticPr fontId="2"/>
  </si>
  <si>
    <t>軽減判定計算</t>
    <rPh sb="0" eb="2">
      <t>ケイゲン</t>
    </rPh>
    <rPh sb="2" eb="4">
      <t>ハンテイ</t>
    </rPh>
    <rPh sb="4" eb="6">
      <t>ケイサン</t>
    </rPh>
    <phoneticPr fontId="2"/>
  </si>
  <si>
    <t>平等割年額</t>
    <rPh sb="0" eb="2">
      <t>ビョウドウ</t>
    </rPh>
    <rPh sb="2" eb="3">
      <t>ワリ</t>
    </rPh>
    <rPh sb="3" eb="5">
      <t>ネンガク</t>
    </rPh>
    <phoneticPr fontId="2"/>
  </si>
  <si>
    <t>４月</t>
    <rPh sb="1" eb="2">
      <t>ガツ</t>
    </rPh>
    <phoneticPr fontId="2"/>
  </si>
  <si>
    <t>５月</t>
  </si>
  <si>
    <t>６月</t>
  </si>
  <si>
    <t>７月</t>
  </si>
  <si>
    <t>８月</t>
  </si>
  <si>
    <t>９月</t>
  </si>
  <si>
    <t>１０月</t>
  </si>
  <si>
    <t>１１月</t>
  </si>
  <si>
    <t>１２月</t>
  </si>
  <si>
    <t>１月</t>
  </si>
  <si>
    <t>２月</t>
  </si>
  <si>
    <t>３月</t>
  </si>
  <si>
    <t>平等割判定</t>
    <rPh sb="0" eb="2">
      <t>ビョウドウ</t>
    </rPh>
    <rPh sb="2" eb="3">
      <t>ワリ</t>
    </rPh>
    <rPh sb="3" eb="5">
      <t>ハンテイ</t>
    </rPh>
    <phoneticPr fontId="2"/>
  </si>
  <si>
    <t>平等割判定（介護）</t>
    <rPh sb="0" eb="2">
      <t>ビョウドウ</t>
    </rPh>
    <rPh sb="2" eb="3">
      <t>ワリ</t>
    </rPh>
    <rPh sb="3" eb="5">
      <t>ハンテイ</t>
    </rPh>
    <rPh sb="6" eb="8">
      <t>カイゴ</t>
    </rPh>
    <phoneticPr fontId="2"/>
  </si>
  <si>
    <t>非自発的失業者
（離職理由コード）</t>
    <rPh sb="0" eb="1">
      <t>ヒ</t>
    </rPh>
    <rPh sb="1" eb="3">
      <t>ジハツ</t>
    </rPh>
    <rPh sb="3" eb="4">
      <t>テキ</t>
    </rPh>
    <rPh sb="4" eb="6">
      <t>シツギョウ</t>
    </rPh>
    <rPh sb="6" eb="7">
      <t>シャ</t>
    </rPh>
    <rPh sb="9" eb="11">
      <t>リショク</t>
    </rPh>
    <rPh sb="11" eb="13">
      <t>リユウ</t>
    </rPh>
    <phoneticPr fontId="2"/>
  </si>
  <si>
    <t>②世帯員の収入状況を入力してください</t>
    <rPh sb="1" eb="3">
      <t>セタイ</t>
    </rPh>
    <rPh sb="3" eb="4">
      <t>イン</t>
    </rPh>
    <rPh sb="5" eb="7">
      <t>シュウニュウ</t>
    </rPh>
    <rPh sb="7" eb="9">
      <t>ジョウキョウ</t>
    </rPh>
    <rPh sb="10" eb="12">
      <t>ニュウリョク</t>
    </rPh>
    <phoneticPr fontId="2"/>
  </si>
  <si>
    <t>　試算結果は、端数調整などにより、実際の保険料と異なる場合があります。世帯主及び加入者で未申告の方がいる場合、保険料の軽減が正しく計算できず、実際の保険料と異なる場合があります。</t>
    <rPh sb="1" eb="3">
      <t>シサン</t>
    </rPh>
    <rPh sb="3" eb="5">
      <t>ケッカ</t>
    </rPh>
    <rPh sb="7" eb="9">
      <t>ハスウ</t>
    </rPh>
    <rPh sb="9" eb="11">
      <t>チョウセイ</t>
    </rPh>
    <rPh sb="17" eb="19">
      <t>ジッサイ</t>
    </rPh>
    <rPh sb="18" eb="19">
      <t>ケツジツ</t>
    </rPh>
    <rPh sb="20" eb="23">
      <t>ホケンリョウ</t>
    </rPh>
    <rPh sb="24" eb="25">
      <t>コト</t>
    </rPh>
    <rPh sb="27" eb="29">
      <t>バアイ</t>
    </rPh>
    <rPh sb="62" eb="63">
      <t>タダ</t>
    </rPh>
    <rPh sb="65" eb="67">
      <t>ケイサン</t>
    </rPh>
    <phoneticPr fontId="2"/>
  </si>
  <si>
    <r>
      <t xml:space="preserve">事業所得
</t>
    </r>
    <r>
      <rPr>
        <sz val="10"/>
        <color theme="1"/>
        <rFont val="游ゴシック"/>
        <family val="3"/>
        <charset val="128"/>
        <scheme val="minor"/>
      </rPr>
      <t>（営業・不動産・農業など）</t>
    </r>
    <rPh sb="0" eb="2">
      <t>ジギョウ</t>
    </rPh>
    <rPh sb="2" eb="4">
      <t>ショトク</t>
    </rPh>
    <rPh sb="6" eb="8">
      <t>エイギョウ</t>
    </rPh>
    <rPh sb="9" eb="12">
      <t>フドウサン</t>
    </rPh>
    <rPh sb="13" eb="15">
      <t>ノウギョウ</t>
    </rPh>
    <phoneticPr fontId="2"/>
  </si>
  <si>
    <r>
      <t xml:space="preserve">内、事業専従者控除
</t>
    </r>
    <r>
      <rPr>
        <sz val="10"/>
        <color theme="1"/>
        <rFont val="游ゴシック"/>
        <family val="3"/>
        <charset val="128"/>
        <scheme val="minor"/>
      </rPr>
      <t>（軽減判定所得に加算）</t>
    </r>
    <rPh sb="0" eb="1">
      <t>ウチ</t>
    </rPh>
    <rPh sb="2" eb="4">
      <t>ジギョウ</t>
    </rPh>
    <rPh sb="4" eb="7">
      <t>センジュウシャ</t>
    </rPh>
    <rPh sb="7" eb="9">
      <t>コウジョ</t>
    </rPh>
    <rPh sb="11" eb="13">
      <t>ケイゲン</t>
    </rPh>
    <rPh sb="13" eb="15">
      <t>ハンテイ</t>
    </rPh>
    <rPh sb="15" eb="17">
      <t>ショトク</t>
    </rPh>
    <rPh sb="18" eb="20">
      <t>カサン</t>
    </rPh>
    <phoneticPr fontId="2"/>
  </si>
  <si>
    <r>
      <t xml:space="preserve">その他所得
</t>
    </r>
    <r>
      <rPr>
        <sz val="10"/>
        <color theme="1"/>
        <rFont val="游ゴシック"/>
        <family val="3"/>
        <charset val="128"/>
        <scheme val="minor"/>
      </rPr>
      <t>（雑所得・一時所得など）</t>
    </r>
    <rPh sb="2" eb="3">
      <t>タ</t>
    </rPh>
    <rPh sb="3" eb="5">
      <t>ショトク</t>
    </rPh>
    <rPh sb="7" eb="8">
      <t>ザツ</t>
    </rPh>
    <rPh sb="8" eb="10">
      <t>ショトク</t>
    </rPh>
    <rPh sb="11" eb="13">
      <t>イチジ</t>
    </rPh>
    <rPh sb="13" eb="15">
      <t>ショトク</t>
    </rPh>
    <phoneticPr fontId="2"/>
  </si>
  <si>
    <t>加入者数</t>
    <rPh sb="0" eb="3">
      <t>カニュウシャ</t>
    </rPh>
    <rPh sb="3" eb="4">
      <t>スウ</t>
    </rPh>
    <phoneticPr fontId="2"/>
  </si>
  <si>
    <t>上段:医療・支援／下段:介護</t>
    <phoneticPr fontId="2"/>
  </si>
  <si>
    <t>介護分(40～64歳)</t>
    <rPh sb="0" eb="2">
      <t>カイゴ</t>
    </rPh>
    <rPh sb="2" eb="3">
      <t>ブン</t>
    </rPh>
    <rPh sb="9" eb="10">
      <t>サイ</t>
    </rPh>
    <phoneticPr fontId="2"/>
  </si>
  <si>
    <t>後期支援金分</t>
    <rPh sb="0" eb="2">
      <t>コウキ</t>
    </rPh>
    <rPh sb="2" eb="5">
      <t>シエンキン</t>
    </rPh>
    <rPh sb="5" eb="6">
      <t>ブン</t>
    </rPh>
    <phoneticPr fontId="2"/>
  </si>
  <si>
    <t>※年間保険料は、4月から翌年3月までの保険料の試算額です。</t>
    <rPh sb="1" eb="3">
      <t>ネンカン</t>
    </rPh>
    <rPh sb="3" eb="6">
      <t>ホケンリョウ</t>
    </rPh>
    <rPh sb="9" eb="10">
      <t>ツキ</t>
    </rPh>
    <rPh sb="12" eb="14">
      <t>ヨクネン</t>
    </rPh>
    <rPh sb="15" eb="16">
      <t>ツキ</t>
    </rPh>
    <rPh sb="19" eb="22">
      <t>ホケンリョウ</t>
    </rPh>
    <rPh sb="23" eb="25">
      <t>シサン</t>
    </rPh>
    <rPh sb="25" eb="26">
      <t>ガク</t>
    </rPh>
    <phoneticPr fontId="2"/>
  </si>
  <si>
    <t>氏名</t>
    <rPh sb="0" eb="2">
      <t>シメイ</t>
    </rPh>
    <phoneticPr fontId="2"/>
  </si>
  <si>
    <t>加入
月数</t>
    <rPh sb="0" eb="2">
      <t>カニュウ</t>
    </rPh>
    <rPh sb="3" eb="5">
      <t>ツキスウ</t>
    </rPh>
    <phoneticPr fontId="2"/>
  </si>
  <si>
    <t>生年
月日</t>
    <rPh sb="0" eb="2">
      <t>セイネン</t>
    </rPh>
    <rPh sb="3" eb="5">
      <t>ガッピ</t>
    </rPh>
    <phoneticPr fontId="2"/>
  </si>
  <si>
    <t>中之条町国民健康保険税の試算結果</t>
    <rPh sb="0" eb="4">
      <t>ナカノジョウマチ</t>
    </rPh>
    <rPh sb="4" eb="6">
      <t>コクミン</t>
    </rPh>
    <rPh sb="6" eb="8">
      <t>ケンコウ</t>
    </rPh>
    <rPh sb="8" eb="10">
      <t>ホケン</t>
    </rPh>
    <rPh sb="10" eb="11">
      <t>ゼイ</t>
    </rPh>
    <rPh sb="12" eb="14">
      <t>シサン</t>
    </rPh>
    <rPh sb="14" eb="16">
      <t>ケッカ</t>
    </rPh>
    <phoneticPr fontId="2"/>
  </si>
  <si>
    <t>中之条町国民健康保険税の試算</t>
    <rPh sb="0" eb="4">
      <t>ナカノジョウマチ</t>
    </rPh>
    <rPh sb="4" eb="6">
      <t>コクミン</t>
    </rPh>
    <rPh sb="6" eb="8">
      <t>ケンコウ</t>
    </rPh>
    <rPh sb="8" eb="10">
      <t>ホケン</t>
    </rPh>
    <rPh sb="10" eb="11">
      <t>ゼイ</t>
    </rPh>
    <rPh sb="12" eb="14">
      <t>シサン</t>
    </rPh>
    <phoneticPr fontId="2"/>
  </si>
  <si>
    <r>
      <t>①世帯主及び世帯内の国保健康保険加入者と後期高齢者医療保険加入者の基本情報と</t>
    </r>
    <r>
      <rPr>
        <b/>
        <sz val="14"/>
        <color rgb="FFFF0000"/>
        <rFont val="游ゴシック"/>
        <family val="3"/>
        <charset val="128"/>
        <scheme val="minor"/>
      </rPr>
      <t>４月１日</t>
    </r>
    <r>
      <rPr>
        <sz val="14"/>
        <color theme="1"/>
        <rFont val="游ゴシック"/>
        <family val="3"/>
        <charset val="128"/>
        <scheme val="minor"/>
      </rPr>
      <t>と</t>
    </r>
    <r>
      <rPr>
        <b/>
        <sz val="14"/>
        <color rgb="FFFF0000"/>
        <rFont val="游ゴシック"/>
        <family val="3"/>
        <charset val="128"/>
        <scheme val="minor"/>
      </rPr>
      <t>各月の月末日</t>
    </r>
    <r>
      <rPr>
        <sz val="14"/>
        <rFont val="游ゴシック"/>
        <family val="3"/>
        <charset val="128"/>
        <scheme val="minor"/>
      </rPr>
      <t>の</t>
    </r>
    <r>
      <rPr>
        <sz val="14"/>
        <color theme="1"/>
        <rFont val="游ゴシック"/>
        <family val="3"/>
        <charset val="128"/>
        <scheme val="minor"/>
      </rPr>
      <t>加入状況を入力してください。</t>
    </r>
    <phoneticPr fontId="2"/>
  </si>
  <si>
    <t>軽減判定人数</t>
    <rPh sb="0" eb="2">
      <t>ケイゲン</t>
    </rPh>
    <rPh sb="2" eb="4">
      <t>ハンテイ</t>
    </rPh>
    <rPh sb="4" eb="6">
      <t>ニンズウ</t>
    </rPh>
    <phoneticPr fontId="2"/>
  </si>
  <si>
    <t>途中
加入</t>
    <rPh sb="0" eb="2">
      <t>トチュウ</t>
    </rPh>
    <rPh sb="3" eb="5">
      <t>カニュウ</t>
    </rPh>
    <phoneticPr fontId="2"/>
  </si>
  <si>
    <t>給与所得
（軽減判定用）</t>
    <rPh sb="0" eb="2">
      <t>キュウヨ</t>
    </rPh>
    <rPh sb="2" eb="4">
      <t>ショトク</t>
    </rPh>
    <rPh sb="6" eb="8">
      <t>ケイゲン</t>
    </rPh>
    <rPh sb="8" eb="10">
      <t>ハンテイ</t>
    </rPh>
    <rPh sb="10" eb="11">
      <t>ヨウ</t>
    </rPh>
    <rPh sb="11" eb="12">
      <t>ショヨウ</t>
    </rPh>
    <phoneticPr fontId="2"/>
  </si>
  <si>
    <t>年金所得
（所得割用）</t>
    <rPh sb="0" eb="2">
      <t>ネンキン</t>
    </rPh>
    <rPh sb="2" eb="4">
      <t>ショトク</t>
    </rPh>
    <rPh sb="6" eb="8">
      <t>ショトク</t>
    </rPh>
    <rPh sb="8" eb="10">
      <t>ワリヨウ</t>
    </rPh>
    <phoneticPr fontId="2"/>
  </si>
  <si>
    <t>所得金額調整控除
（所得割用）</t>
    <rPh sb="0" eb="2">
      <t>ショトク</t>
    </rPh>
    <rPh sb="2" eb="4">
      <t>キンガク</t>
    </rPh>
    <rPh sb="4" eb="6">
      <t>チョウセイ</t>
    </rPh>
    <rPh sb="6" eb="8">
      <t>コウジョ</t>
    </rPh>
    <rPh sb="10" eb="12">
      <t>ショトク</t>
    </rPh>
    <rPh sb="12" eb="13">
      <t>ワリ</t>
    </rPh>
    <rPh sb="13" eb="14">
      <t>ヨウ</t>
    </rPh>
    <phoneticPr fontId="2"/>
  </si>
  <si>
    <t>所得金額調整控除
（軽減判定用）</t>
    <rPh sb="0" eb="2">
      <t>ショトク</t>
    </rPh>
    <rPh sb="2" eb="4">
      <t>キンガク</t>
    </rPh>
    <rPh sb="4" eb="6">
      <t>チョウセイ</t>
    </rPh>
    <rPh sb="6" eb="8">
      <t>コウジョ</t>
    </rPh>
    <rPh sb="10" eb="12">
      <t>ケイゲン</t>
    </rPh>
    <rPh sb="12" eb="15">
      <t>ハンテイヨウ</t>
    </rPh>
    <phoneticPr fontId="2"/>
  </si>
  <si>
    <t>年金所得
（軽減判定用）</t>
    <rPh sb="0" eb="2">
      <t>ネンキン</t>
    </rPh>
    <rPh sb="2" eb="4">
      <t>ショトク</t>
    </rPh>
    <rPh sb="6" eb="8">
      <t>ケイゲン</t>
    </rPh>
    <rPh sb="8" eb="10">
      <t>ハンテイ</t>
    </rPh>
    <rPh sb="10" eb="11">
      <t>ヨウ</t>
    </rPh>
    <rPh sb="11" eb="12">
      <t>ショヨウ</t>
    </rPh>
    <phoneticPr fontId="2"/>
  </si>
  <si>
    <t>給与収入
（軽減判定用）</t>
    <rPh sb="0" eb="2">
      <t>キュウヨ</t>
    </rPh>
    <rPh sb="2" eb="4">
      <t>シュウニュウ</t>
    </rPh>
    <rPh sb="6" eb="8">
      <t>ケイゲン</t>
    </rPh>
    <rPh sb="8" eb="10">
      <t>ハンテイ</t>
    </rPh>
    <rPh sb="10" eb="11">
      <t>ヨウ</t>
    </rPh>
    <phoneticPr fontId="2"/>
  </si>
  <si>
    <t>給与収入</t>
    <rPh sb="0" eb="2">
      <t>キュウヨ</t>
    </rPh>
    <rPh sb="2" eb="4">
      <t>シュウニュウ</t>
    </rPh>
    <phoneticPr fontId="2"/>
  </si>
  <si>
    <t>※支払いは7月から翌年２月までの８期に分けて支払いとなります。</t>
    <rPh sb="19" eb="20">
      <t>ワ</t>
    </rPh>
    <phoneticPr fontId="2"/>
  </si>
  <si>
    <t>内、事業専従者控除額</t>
    <rPh sb="0" eb="1">
      <t>ウチ</t>
    </rPh>
    <rPh sb="2" eb="4">
      <t>ジギョウ</t>
    </rPh>
    <rPh sb="4" eb="7">
      <t>センジュウシャ</t>
    </rPh>
    <rPh sb="7" eb="9">
      <t>コウジョ</t>
    </rPh>
    <rPh sb="9" eb="10">
      <t>ガク</t>
    </rPh>
    <phoneticPr fontId="2"/>
  </si>
  <si>
    <t>中之条　一郎</t>
    <rPh sb="0" eb="3">
      <t>ナカノジョウ</t>
    </rPh>
    <rPh sb="4" eb="6">
      <t>イチロウ</t>
    </rPh>
    <phoneticPr fontId="2"/>
  </si>
  <si>
    <t>中之条　花子</t>
    <rPh sb="0" eb="3">
      <t>ナカノジョウ</t>
    </rPh>
    <rPh sb="4" eb="6">
      <t>ハナコ</t>
    </rPh>
    <phoneticPr fontId="2"/>
  </si>
  <si>
    <t>中之条　松子</t>
    <rPh sb="0" eb="3">
      <t>ナカノジョウ</t>
    </rPh>
    <rPh sb="4" eb="6">
      <t>マツコ</t>
    </rPh>
    <phoneticPr fontId="2"/>
  </si>
  <si>
    <t>中之条　太郎</t>
    <rPh sb="0" eb="3">
      <t>ナカノジョウ</t>
    </rPh>
    <rPh sb="4" eb="6">
      <t>タロウ</t>
    </rPh>
    <phoneticPr fontId="2"/>
  </si>
  <si>
    <t>国保</t>
  </si>
  <si>
    <t>（特）後期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</si>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</sst>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円&quot;"/>
    <numFmt numFmtId="177" formatCode="0&quot;歳&quot;"/>
    <numFmt numFmtId="178" formatCode="0&quot;人&quot;"/>
    <numFmt numFmtId="179" formatCode="0&quot;割&quot;"/>
    <numFmt numFmtId="180" formatCode="[$-411]ge\.m\.d;@"/>
    <numFmt numFmtId="181" formatCode="&quot;令和&quot;##&quot;年度&quot;"/>
    <numFmt numFmtId="182" formatCode="[$-411]ggge&quot;年&quot;m&quot;月&quot;d&quot;日&quot;;@"/>
    <numFmt numFmtId="183" formatCode="yyyy/m/d;@"/>
    <numFmt numFmtId="184" formatCode="m/d;@"/>
    <numFmt numFmtId="185" formatCode="##&quot;年度&quot;"/>
    <numFmt numFmtId="18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sz val="14"/>
      <color theme="1"/>
      <name val="游ゴシック"/>
      <family val="3"/>
      <charset val="128"/>
      <scheme val="minor"/>
    </font>
    <font>
      <sz val="22"/>
      <color theme="1"/>
      <name val="HGPｺﾞｼｯｸE"/>
      <family val="3"/>
      <charset val="128"/>
    </font>
    <font>
      <sz val="11"/>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4"/>
      <color rgb="FFFF0000"/>
      <name val="游ゴシック"/>
      <family val="3"/>
      <charset val="128"/>
      <scheme val="minor"/>
    </font>
    <font>
      <b/>
      <sz val="28"/>
      <color theme="1"/>
      <name val="游ゴシック"/>
      <family val="3"/>
      <charset val="128"/>
      <scheme val="minor"/>
    </font>
    <font>
      <b/>
      <sz val="22"/>
      <color theme="1"/>
      <name val="游ゴシック"/>
      <family val="3"/>
      <charset val="128"/>
      <scheme val="minor"/>
    </font>
    <font>
      <sz val="16"/>
      <color theme="1"/>
      <name val="游ゴシック"/>
      <family val="3"/>
      <charset val="128"/>
      <scheme val="minor"/>
    </font>
    <font>
      <b/>
      <sz val="2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top style="medium">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ck">
        <color rgb="FFFF0000"/>
      </right>
      <top style="thick">
        <color rgb="FFFF0000"/>
      </top>
      <bottom style="double">
        <color indexed="64"/>
      </bottom>
      <diagonal/>
    </border>
    <border>
      <left/>
      <right style="thick">
        <color rgb="FFFF0000"/>
      </right>
      <top style="double">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diagonal/>
    </border>
    <border diagonalUp="1">
      <left style="thick">
        <color rgb="FFFF0000"/>
      </left>
      <right style="thick">
        <color rgb="FFFF0000"/>
      </right>
      <top style="double">
        <color indexed="64"/>
      </top>
      <bottom style="thin">
        <color indexed="64"/>
      </bottom>
      <diagonal style="thin">
        <color indexed="64"/>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right/>
      <top style="thick">
        <color rgb="FFFF0000"/>
      </top>
      <bottom style="double">
        <color indexed="64"/>
      </bottom>
      <diagonal/>
    </border>
    <border>
      <left/>
      <right/>
      <top style="thin">
        <color indexed="64"/>
      </top>
      <bottom style="thick">
        <color rgb="FFFF0000"/>
      </bottom>
      <diagonal/>
    </border>
    <border>
      <left style="thick">
        <color rgb="FFFF0000"/>
      </left>
      <right style="thin">
        <color indexed="64"/>
      </right>
      <top style="thick">
        <color rgb="FFFF0000"/>
      </top>
      <bottom style="double">
        <color indexed="64"/>
      </bottom>
      <diagonal/>
    </border>
    <border>
      <left style="thin">
        <color indexed="64"/>
      </left>
      <right style="thin">
        <color indexed="64"/>
      </right>
      <top style="thick">
        <color rgb="FFFF0000"/>
      </top>
      <bottom style="double">
        <color indexed="64"/>
      </bottom>
      <diagonal/>
    </border>
    <border>
      <left style="thin">
        <color indexed="64"/>
      </left>
      <right/>
      <top style="thick">
        <color rgb="FFFF0000"/>
      </top>
      <bottom style="double">
        <color indexed="64"/>
      </bottom>
      <diagonal/>
    </border>
    <border>
      <left style="thick">
        <color rgb="FFFF0000"/>
      </left>
      <right style="thin">
        <color indexed="64"/>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ck">
        <color rgb="FFFF0000"/>
      </top>
      <bottom style="double">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ck">
        <color rgb="FFFF0000"/>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8">
    <xf numFmtId="0" fontId="0" fillId="0" borderId="0" xfId="0">
      <alignment vertical="center"/>
    </xf>
    <xf numFmtId="0" fontId="4" fillId="0" borderId="0" xfId="0" applyFont="1">
      <alignment vertical="center"/>
    </xf>
    <xf numFmtId="181" fontId="4" fillId="0" borderId="0" xfId="0" applyNumberFormat="1" applyFont="1" applyAlignment="1">
      <alignment vertical="top"/>
    </xf>
    <xf numFmtId="181" fontId="4" fillId="0" borderId="0" xfId="0" applyNumberFormat="1" applyFont="1" applyAlignment="1">
      <alignment horizontal="center" vertical="top"/>
    </xf>
    <xf numFmtId="0" fontId="5" fillId="0" borderId="0" xfId="0" applyFont="1" applyAlignment="1">
      <alignment horizontal="center" vertical="center"/>
    </xf>
    <xf numFmtId="0" fontId="4" fillId="0" borderId="0" xfId="0" applyFont="1" applyAlignment="1">
      <alignment horizontal="center" vertical="center"/>
    </xf>
    <xf numFmtId="10" fontId="4" fillId="0" borderId="0" xfId="0" applyNumberFormat="1" applyFont="1" applyAlignment="1">
      <alignment horizontal="center" vertical="center"/>
    </xf>
    <xf numFmtId="176" fontId="4" fillId="0" borderId="0" xfId="0" applyNumberFormat="1" applyFont="1" applyAlignment="1">
      <alignment horizontal="center" vertical="center"/>
    </xf>
    <xf numFmtId="180" fontId="4" fillId="0" borderId="0" xfId="0" applyNumberFormat="1" applyFont="1" applyAlignment="1">
      <alignment horizontal="center" vertical="center"/>
    </xf>
    <xf numFmtId="176" fontId="4" fillId="0" borderId="0" xfId="0" applyNumberFormat="1" applyFont="1">
      <alignment vertical="center"/>
    </xf>
    <xf numFmtId="176" fontId="5" fillId="0" borderId="0" xfId="0" applyNumberFormat="1" applyFont="1" applyAlignment="1">
      <alignment horizontal="right" vertical="center"/>
    </xf>
    <xf numFmtId="0" fontId="7" fillId="0" borderId="0" xfId="0" applyFont="1">
      <alignment vertical="center"/>
    </xf>
    <xf numFmtId="176" fontId="6" fillId="0" borderId="0" xfId="0" applyNumberFormat="1" applyFont="1" applyAlignment="1" applyProtection="1">
      <alignment horizontal="center" vertical="center"/>
      <protection hidden="1"/>
    </xf>
    <xf numFmtId="0" fontId="11" fillId="0" borderId="0" xfId="0" applyFont="1" applyAlignment="1">
      <alignment horizontal="center" vertical="center" wrapText="1"/>
    </xf>
    <xf numFmtId="182" fontId="4" fillId="0" borderId="0" xfId="0" applyNumberFormat="1" applyFont="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shrinkToFit="1"/>
    </xf>
    <xf numFmtId="177" fontId="4" fillId="0" borderId="0" xfId="0" applyNumberFormat="1" applyFont="1" applyAlignment="1">
      <alignment horizontal="center" vertical="center"/>
    </xf>
    <xf numFmtId="183" fontId="4" fillId="0" borderId="0" xfId="0" applyNumberFormat="1" applyFont="1">
      <alignment vertical="center"/>
    </xf>
    <xf numFmtId="186" fontId="4" fillId="0" borderId="0" xfId="0" applyNumberFormat="1" applyFont="1" applyAlignment="1">
      <alignment horizontal="center" vertical="center"/>
    </xf>
    <xf numFmtId="0" fontId="12" fillId="0" borderId="0" xfId="0" applyFont="1" applyAlignment="1">
      <alignment horizontal="center" vertical="center" shrinkToFit="1"/>
    </xf>
    <xf numFmtId="0" fontId="4" fillId="0" borderId="15" xfId="0" applyFont="1" applyBorder="1" applyAlignment="1">
      <alignment horizontal="center" vertical="center"/>
    </xf>
    <xf numFmtId="0" fontId="4" fillId="0" borderId="29" xfId="0" applyFont="1" applyBorder="1" applyAlignment="1">
      <alignment horizontal="center" vertical="center"/>
    </xf>
    <xf numFmtId="184" fontId="4" fillId="0" borderId="31" xfId="0" applyNumberFormat="1" applyFont="1" applyBorder="1" applyAlignment="1">
      <alignment horizontal="center" vertical="center"/>
    </xf>
    <xf numFmtId="184" fontId="4" fillId="0" borderId="33" xfId="0" applyNumberFormat="1" applyFont="1" applyBorder="1" applyAlignment="1">
      <alignment horizontal="center" vertical="center"/>
    </xf>
    <xf numFmtId="183" fontId="4" fillId="0" borderId="0" xfId="0" applyNumberFormat="1" applyFont="1" applyAlignment="1">
      <alignment horizontal="center" vertical="center"/>
    </xf>
    <xf numFmtId="0" fontId="4" fillId="0" borderId="16" xfId="0" applyFont="1" applyBorder="1" applyAlignment="1">
      <alignment horizontal="center" vertical="center" shrinkToFit="1"/>
    </xf>
    <xf numFmtId="176" fontId="4" fillId="0" borderId="16" xfId="0" applyNumberFormat="1" applyFont="1" applyBorder="1" applyAlignment="1">
      <alignment horizontal="center" vertical="center" shrinkToFit="1"/>
    </xf>
    <xf numFmtId="177"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180" fontId="4" fillId="0" borderId="16" xfId="0" applyNumberFormat="1" applyFont="1" applyBorder="1" applyAlignment="1">
      <alignment horizontal="center" vertical="center"/>
    </xf>
    <xf numFmtId="0" fontId="3" fillId="0" borderId="0" xfId="0" applyFont="1" applyAlignment="1">
      <alignment horizontal="center" vertical="center" wrapText="1" shrinkToFit="1"/>
    </xf>
    <xf numFmtId="0" fontId="4" fillId="0" borderId="34" xfId="0" applyFont="1" applyBorder="1" applyAlignment="1">
      <alignment horizontal="center" vertical="center"/>
    </xf>
    <xf numFmtId="176" fontId="4" fillId="0" borderId="15" xfId="0" applyNumberFormat="1" applyFont="1" applyBorder="1" applyAlignment="1">
      <alignment horizontal="center" vertical="center" shrinkToFit="1"/>
    </xf>
    <xf numFmtId="0" fontId="12" fillId="0" borderId="16" xfId="0" applyFont="1" applyBorder="1" applyAlignment="1">
      <alignment horizontal="center" vertical="center"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4" fillId="0" borderId="34" xfId="0" applyFont="1" applyBorder="1" applyAlignment="1">
      <alignment horizontal="center" vertical="center" wrapText="1" shrinkToFit="1"/>
    </xf>
    <xf numFmtId="0" fontId="12" fillId="0" borderId="28" xfId="0" applyFont="1" applyBorder="1" applyAlignment="1">
      <alignment horizontal="center" vertical="center" shrinkToFit="1"/>
    </xf>
    <xf numFmtId="0" fontId="4" fillId="0" borderId="33" xfId="0" applyFont="1" applyBorder="1">
      <alignment vertical="center"/>
    </xf>
    <xf numFmtId="0" fontId="12" fillId="0" borderId="3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horizontal="center" vertical="center"/>
    </xf>
    <xf numFmtId="0" fontId="12" fillId="0" borderId="33" xfId="0" applyFont="1" applyBorder="1" applyAlignment="1">
      <alignment horizontal="center" vertical="center" wrapText="1" shrinkToFit="1"/>
    </xf>
    <xf numFmtId="180" fontId="12" fillId="0" borderId="33" xfId="0" applyNumberFormat="1" applyFont="1" applyBorder="1" applyAlignment="1">
      <alignment horizontal="center" vertical="center" shrinkToFit="1"/>
    </xf>
    <xf numFmtId="0" fontId="4" fillId="0" borderId="0" xfId="0" applyFont="1" applyAlignment="1">
      <alignment horizontal="center" vertical="center" wrapText="1" shrinkToFit="1"/>
    </xf>
    <xf numFmtId="185" fontId="13" fillId="0" borderId="0" xfId="0" applyNumberFormat="1" applyFont="1" applyAlignment="1">
      <alignment horizontal="center" vertical="center"/>
    </xf>
    <xf numFmtId="0" fontId="9" fillId="0" borderId="1" xfId="0" applyFont="1" applyBorder="1">
      <alignment vertical="center"/>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44" xfId="0" applyFont="1" applyBorder="1" applyAlignment="1">
      <alignment vertical="center" shrinkToFit="1"/>
    </xf>
    <xf numFmtId="184" fontId="9" fillId="0" borderId="42" xfId="0" applyNumberFormat="1" applyFont="1" applyBorder="1" applyAlignment="1">
      <alignment horizontal="center" vertical="center" shrinkToFit="1"/>
    </xf>
    <xf numFmtId="0" fontId="9" fillId="0" borderId="42" xfId="0" applyFont="1" applyBorder="1" applyAlignment="1">
      <alignment horizontal="center" vertical="center"/>
    </xf>
    <xf numFmtId="0" fontId="9" fillId="0" borderId="16" xfId="0" applyFont="1" applyBorder="1" applyAlignment="1">
      <alignment horizontal="center" vertical="center" shrinkToFit="1"/>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0" borderId="0" xfId="0" applyFont="1">
      <alignment vertical="center"/>
    </xf>
    <xf numFmtId="176" fontId="10" fillId="0" borderId="0" xfId="0" applyNumberFormat="1" applyFont="1" applyAlignment="1">
      <alignment horizontal="right" vertical="center"/>
    </xf>
    <xf numFmtId="176" fontId="10" fillId="0" borderId="0" xfId="1" applyNumberFormat="1" applyFont="1" applyFill="1" applyBorder="1" applyAlignment="1">
      <alignment horizontal="right" vertical="center"/>
    </xf>
    <xf numFmtId="0" fontId="10" fillId="0" borderId="0" xfId="0" applyFont="1" applyAlignment="1">
      <alignment horizontal="center" vertical="center"/>
    </xf>
    <xf numFmtId="0" fontId="7" fillId="0" borderId="0" xfId="0" applyFont="1" applyAlignment="1">
      <alignment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55" xfId="0" applyFont="1" applyBorder="1">
      <alignment vertical="center"/>
    </xf>
    <xf numFmtId="0" fontId="9" fillId="0" borderId="42" xfId="0" applyFont="1" applyBorder="1" applyAlignment="1">
      <alignment horizontal="center" vertical="center" wrapText="1" shrinkToFit="1"/>
    </xf>
    <xf numFmtId="0" fontId="3" fillId="0" borderId="49" xfId="0" applyFont="1" applyBorder="1" applyAlignment="1">
      <alignment horizontal="center" vertical="center" wrapText="1" shrinkToFit="1"/>
    </xf>
    <xf numFmtId="0" fontId="12" fillId="0" borderId="49" xfId="0" applyFont="1" applyBorder="1" applyAlignment="1">
      <alignment horizontal="center" vertical="center" shrinkToFit="1"/>
    </xf>
    <xf numFmtId="176" fontId="6" fillId="0" borderId="0" xfId="0" applyNumberFormat="1" applyFont="1" applyProtection="1">
      <alignment vertical="center"/>
      <protection hidden="1"/>
    </xf>
    <xf numFmtId="0" fontId="4" fillId="0" borderId="49" xfId="0" applyFont="1" applyBorder="1">
      <alignment vertical="center"/>
    </xf>
    <xf numFmtId="184" fontId="9" fillId="0" borderId="42" xfId="0" applyNumberFormat="1" applyFont="1" applyBorder="1" applyAlignment="1">
      <alignment horizontal="center" vertical="center" wrapText="1"/>
    </xf>
    <xf numFmtId="0" fontId="4" fillId="0" borderId="50" xfId="0" applyFont="1" applyBorder="1">
      <alignment vertical="center"/>
    </xf>
    <xf numFmtId="56" fontId="4" fillId="0" borderId="15" xfId="0" applyNumberFormat="1" applyFont="1" applyBorder="1">
      <alignment vertical="center"/>
    </xf>
    <xf numFmtId="0" fontId="9" fillId="0" borderId="15" xfId="0" applyFont="1" applyBorder="1" applyAlignment="1">
      <alignment horizontal="center" vertical="center"/>
    </xf>
    <xf numFmtId="0" fontId="9" fillId="0" borderId="15" xfId="0" applyFont="1" applyBorder="1" applyAlignment="1">
      <alignment horizontal="center" vertical="center" shrinkToFit="1"/>
    </xf>
    <xf numFmtId="184" fontId="9" fillId="0" borderId="31" xfId="0" applyNumberFormat="1" applyFont="1" applyBorder="1" applyAlignment="1">
      <alignment horizontal="center" vertical="center" wrapText="1"/>
    </xf>
    <xf numFmtId="0" fontId="5" fillId="0" borderId="49" xfId="0" applyFont="1" applyBorder="1" applyAlignment="1">
      <alignment horizontal="center" vertical="center"/>
    </xf>
    <xf numFmtId="0" fontId="18" fillId="0" borderId="0" xfId="0" applyFont="1" applyAlignment="1">
      <alignment horizontal="left" vertical="center"/>
    </xf>
    <xf numFmtId="0" fontId="9" fillId="2" borderId="9" xfId="0" applyFont="1" applyFill="1" applyBorder="1" applyAlignment="1">
      <alignment horizontal="center" vertical="center" shrinkToFit="1"/>
    </xf>
    <xf numFmtId="0" fontId="9" fillId="2" borderId="65" xfId="0" applyFont="1" applyFill="1" applyBorder="1" applyAlignment="1">
      <alignment horizontal="center" vertical="center" shrinkToFit="1"/>
    </xf>
    <xf numFmtId="56" fontId="9" fillId="2" borderId="16" xfId="0" applyNumberFormat="1" applyFont="1" applyFill="1" applyBorder="1" applyAlignment="1">
      <alignment horizontal="center" vertical="center"/>
    </xf>
    <xf numFmtId="176" fontId="9" fillId="2" borderId="16" xfId="0" applyNumberFormat="1"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5" xfId="0" applyFont="1" applyFill="1" applyBorder="1" applyAlignment="1">
      <alignment vertical="center" shrinkToFit="1"/>
    </xf>
    <xf numFmtId="0" fontId="9" fillId="2" borderId="16" xfId="0" applyFont="1" applyFill="1" applyBorder="1" applyAlignment="1">
      <alignment vertical="center" shrinkToFit="1"/>
    </xf>
    <xf numFmtId="0" fontId="9" fillId="2" borderId="16" xfId="0" applyFont="1" applyFill="1" applyBorder="1" applyAlignment="1">
      <alignment horizontal="center" vertical="center" shrinkToFit="1"/>
    </xf>
    <xf numFmtId="176" fontId="10" fillId="0" borderId="16" xfId="0" applyNumberFormat="1" applyFont="1" applyBorder="1" applyAlignment="1">
      <alignment horizontal="center" vertical="center"/>
    </xf>
    <xf numFmtId="176" fontId="10" fillId="0" borderId="22" xfId="0" applyNumberFormat="1" applyFont="1" applyBorder="1" applyAlignment="1">
      <alignment horizontal="center" vertical="center"/>
    </xf>
    <xf numFmtId="185" fontId="17" fillId="2" borderId="1" xfId="0" applyNumberFormat="1" applyFont="1" applyFill="1" applyBorder="1" applyAlignment="1">
      <alignment horizontal="center" vertical="center"/>
    </xf>
    <xf numFmtId="0" fontId="9" fillId="0" borderId="55" xfId="0" applyFont="1" applyBorder="1" applyAlignment="1">
      <alignment vertical="center" shrinkToFit="1"/>
    </xf>
    <xf numFmtId="0" fontId="9" fillId="0" borderId="8" xfId="0" applyFont="1" applyBorder="1" applyAlignment="1">
      <alignment horizontal="center" vertical="center" shrinkToFit="1"/>
    </xf>
    <xf numFmtId="184" fontId="9" fillId="0" borderId="56" xfId="0" applyNumberFormat="1" applyFont="1" applyBorder="1" applyAlignment="1">
      <alignment horizontal="center" vertical="center" wrapText="1"/>
    </xf>
    <xf numFmtId="0" fontId="9" fillId="0" borderId="18" xfId="0" applyFont="1" applyBorder="1" applyAlignment="1">
      <alignment horizontal="center" vertical="center" shrinkToFit="1"/>
    </xf>
    <xf numFmtId="0" fontId="9" fillId="2" borderId="19" xfId="0" applyFont="1" applyFill="1" applyBorder="1" applyAlignment="1">
      <alignment vertical="center" shrinkToFit="1"/>
    </xf>
    <xf numFmtId="184" fontId="9" fillId="0" borderId="75" xfId="0" applyNumberFormat="1" applyFont="1" applyBorder="1" applyAlignment="1">
      <alignment horizontal="center" vertical="center" wrapText="1"/>
    </xf>
    <xf numFmtId="0" fontId="9" fillId="0" borderId="84" xfId="0" applyFont="1" applyBorder="1" applyAlignment="1">
      <alignment horizontal="center" vertical="center" wrapText="1" shrinkToFit="1"/>
    </xf>
    <xf numFmtId="184" fontId="9" fillId="0" borderId="84" xfId="0" applyNumberFormat="1" applyFont="1" applyBorder="1" applyAlignment="1">
      <alignment horizontal="center" vertical="center" shrinkToFit="1"/>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21" fillId="2" borderId="9"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1" fillId="2" borderId="76" xfId="0" applyFont="1" applyFill="1" applyBorder="1" applyAlignment="1">
      <alignment horizontal="center" vertical="center" shrinkToFit="1"/>
    </xf>
    <xf numFmtId="0" fontId="21" fillId="0" borderId="8" xfId="0" applyFont="1" applyBorder="1" applyAlignment="1">
      <alignment horizontal="center" vertical="center" shrinkToFit="1"/>
    </xf>
    <xf numFmtId="56" fontId="21" fillId="2" borderId="16" xfId="0" applyNumberFormat="1" applyFont="1" applyFill="1" applyBorder="1" applyAlignment="1">
      <alignment horizontal="center" vertical="center"/>
    </xf>
    <xf numFmtId="0" fontId="21" fillId="2" borderId="77" xfId="0" applyFont="1" applyFill="1" applyBorder="1" applyAlignment="1">
      <alignment horizontal="center" vertical="center" shrinkToFit="1"/>
    </xf>
    <xf numFmtId="0" fontId="21" fillId="2" borderId="15" xfId="0" applyFont="1" applyFill="1" applyBorder="1" applyAlignment="1">
      <alignment vertical="center" shrinkToFit="1"/>
    </xf>
    <xf numFmtId="0" fontId="21" fillId="2" borderId="72" xfId="0" applyFont="1" applyFill="1" applyBorder="1" applyAlignment="1">
      <alignment vertical="center" shrinkToFit="1"/>
    </xf>
    <xf numFmtId="0" fontId="21" fillId="0" borderId="18" xfId="0" applyFont="1" applyBorder="1" applyAlignment="1">
      <alignment horizontal="center" vertical="center" shrinkToFit="1"/>
    </xf>
    <xf numFmtId="0" fontId="21" fillId="2" borderId="16"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176" fontId="21" fillId="2" borderId="16" xfId="0" applyNumberFormat="1" applyFont="1" applyFill="1" applyBorder="1" applyAlignment="1">
      <alignment horizontal="center" vertical="center" shrinkToFit="1"/>
    </xf>
    <xf numFmtId="176" fontId="21" fillId="2" borderId="17" xfId="0" applyNumberFormat="1" applyFont="1" applyFill="1" applyBorder="1" applyAlignment="1">
      <alignment horizontal="center" vertical="center" shrinkToFit="1"/>
    </xf>
    <xf numFmtId="0" fontId="21" fillId="2" borderId="79" xfId="0" applyFont="1" applyFill="1" applyBorder="1" applyAlignment="1">
      <alignment horizontal="center" vertical="center" shrinkToFit="1"/>
    </xf>
    <xf numFmtId="0" fontId="21" fillId="0" borderId="15" xfId="0" applyFont="1" applyBorder="1" applyAlignment="1">
      <alignment horizontal="center" vertical="center" shrinkToFit="1"/>
    </xf>
    <xf numFmtId="176" fontId="21" fillId="2" borderId="78" xfId="0" applyNumberFormat="1" applyFont="1" applyFill="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87" xfId="0" applyFont="1" applyFill="1" applyBorder="1" applyAlignment="1">
      <alignment horizontal="center" vertical="center" shrinkToFit="1"/>
    </xf>
    <xf numFmtId="176" fontId="21" fillId="2" borderId="8" xfId="0" applyNumberFormat="1" applyFont="1" applyFill="1" applyBorder="1" applyAlignment="1">
      <alignment horizontal="center" vertical="center" shrinkToFit="1"/>
    </xf>
    <xf numFmtId="0" fontId="21" fillId="2" borderId="9" xfId="0" applyFont="1" applyFill="1" applyBorder="1" applyAlignment="1">
      <alignment vertical="center" shrinkToFit="1"/>
    </xf>
    <xf numFmtId="0" fontId="21" fillId="2" borderId="16" xfId="0" applyFont="1" applyFill="1" applyBorder="1" applyAlignment="1">
      <alignment vertical="center" shrinkToFit="1"/>
    </xf>
    <xf numFmtId="0" fontId="21" fillId="2" borderId="74"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184" fontId="4" fillId="0" borderId="93" xfId="0" applyNumberFormat="1" applyFont="1" applyBorder="1" applyAlignment="1">
      <alignment horizontal="center" vertical="center"/>
    </xf>
    <xf numFmtId="184" fontId="4" fillId="0" borderId="5" xfId="0" applyNumberFormat="1" applyFont="1" applyBorder="1" applyAlignment="1">
      <alignment horizontal="center" vertical="center"/>
    </xf>
    <xf numFmtId="184" fontId="4" fillId="0" borderId="3" xfId="0" applyNumberFormat="1" applyFont="1" applyBorder="1" applyAlignment="1">
      <alignment horizontal="center" vertical="center"/>
    </xf>
    <xf numFmtId="184" fontId="4" fillId="0" borderId="6" xfId="0" applyNumberFormat="1" applyFont="1" applyBorder="1" applyAlignment="1">
      <alignment horizontal="center" vertical="center"/>
    </xf>
    <xf numFmtId="0" fontId="18" fillId="0" borderId="33" xfId="0" applyFont="1" applyBorder="1" applyAlignment="1">
      <alignment horizontal="left" vertical="center" wrapText="1"/>
    </xf>
    <xf numFmtId="0" fontId="18" fillId="0" borderId="0" xfId="0" applyFont="1" applyAlignment="1">
      <alignment horizontal="left" vertical="center" wrapText="1"/>
    </xf>
    <xf numFmtId="0" fontId="19" fillId="4" borderId="53"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48" xfId="0" applyFont="1" applyFill="1" applyBorder="1" applyAlignment="1">
      <alignment horizontal="center" vertical="center"/>
    </xf>
    <xf numFmtId="176" fontId="20" fillId="0" borderId="45" xfId="0" applyNumberFormat="1" applyFont="1" applyBorder="1" applyAlignment="1" applyProtection="1">
      <alignment horizontal="center" vertical="center"/>
      <protection hidden="1"/>
    </xf>
    <xf numFmtId="176" fontId="20" fillId="0" borderId="46" xfId="0" applyNumberFormat="1" applyFont="1" applyBorder="1" applyAlignment="1" applyProtection="1">
      <alignment horizontal="center" vertical="center"/>
      <protection hidden="1"/>
    </xf>
    <xf numFmtId="176" fontId="20" fillId="0" borderId="51" xfId="0" applyNumberFormat="1" applyFont="1" applyBorder="1" applyAlignment="1" applyProtection="1">
      <alignment horizontal="center" vertical="center"/>
      <protection hidden="1"/>
    </xf>
    <xf numFmtId="176" fontId="20" fillId="0" borderId="52" xfId="0" applyNumberFormat="1" applyFont="1" applyBorder="1" applyAlignment="1" applyProtection="1">
      <alignment horizontal="center" vertical="center"/>
      <protection hidden="1"/>
    </xf>
    <xf numFmtId="176" fontId="16" fillId="0" borderId="23" xfId="0" applyNumberFormat="1" applyFont="1" applyBorder="1" applyAlignment="1" applyProtection="1">
      <alignment horizontal="center" vertical="center"/>
      <protection hidden="1"/>
    </xf>
    <xf numFmtId="176" fontId="16" fillId="0" borderId="24" xfId="0" applyNumberFormat="1" applyFont="1" applyBorder="1" applyAlignment="1" applyProtection="1">
      <alignment horizontal="center" vertical="center"/>
      <protection hidden="1"/>
    </xf>
    <xf numFmtId="176" fontId="16" fillId="0" borderId="64" xfId="0" applyNumberFormat="1" applyFont="1" applyBorder="1" applyAlignment="1" applyProtection="1">
      <alignment horizontal="center" vertical="center"/>
      <protection hidden="1"/>
    </xf>
    <xf numFmtId="0" fontId="10" fillId="0" borderId="23" xfId="0" applyFont="1" applyBorder="1" applyAlignment="1">
      <alignment horizontal="center" vertical="center"/>
    </xf>
    <xf numFmtId="0" fontId="10" fillId="0" borderId="21" xfId="0" applyFont="1" applyBorder="1" applyAlignment="1">
      <alignment horizontal="center" vertical="center"/>
    </xf>
    <xf numFmtId="176" fontId="10" fillId="0" borderId="23" xfId="0" applyNumberFormat="1" applyFont="1" applyBorder="1" applyAlignment="1" applyProtection="1">
      <alignment horizontal="center" vertical="center" shrinkToFit="1"/>
      <protection hidden="1"/>
    </xf>
    <xf numFmtId="176" fontId="10" fillId="0" borderId="24" xfId="0" applyNumberFormat="1" applyFont="1" applyBorder="1" applyAlignment="1" applyProtection="1">
      <alignment horizontal="center" vertical="center" shrinkToFit="1"/>
      <protection hidden="1"/>
    </xf>
    <xf numFmtId="176" fontId="10" fillId="0" borderId="21" xfId="0" applyNumberFormat="1" applyFont="1" applyBorder="1" applyAlignment="1" applyProtection="1">
      <alignment horizontal="center" vertical="center" shrinkToFit="1"/>
      <protection hidden="1"/>
    </xf>
    <xf numFmtId="176" fontId="10" fillId="0" borderId="22" xfId="1" applyNumberFormat="1" applyFont="1" applyFill="1" applyBorder="1" applyAlignment="1" applyProtection="1">
      <alignment horizontal="center" vertical="center" shrinkToFit="1"/>
      <protection hidden="1"/>
    </xf>
    <xf numFmtId="176" fontId="10" fillId="0" borderId="23" xfId="1" applyNumberFormat="1" applyFont="1" applyFill="1" applyBorder="1" applyAlignment="1" applyProtection="1">
      <alignment horizontal="center" vertical="center" shrinkToFit="1"/>
      <protection hidden="1"/>
    </xf>
    <xf numFmtId="176" fontId="10" fillId="0" borderId="24" xfId="1" applyNumberFormat="1" applyFont="1" applyFill="1" applyBorder="1" applyAlignment="1" applyProtection="1">
      <alignment horizontal="center" vertical="center" shrinkToFit="1"/>
      <protection hidden="1"/>
    </xf>
    <xf numFmtId="176" fontId="10" fillId="0" borderId="64" xfId="1" applyNumberFormat="1" applyFont="1" applyFill="1" applyBorder="1" applyAlignment="1" applyProtection="1">
      <alignment horizontal="center" vertical="center" shrinkToFit="1"/>
      <protection hidden="1"/>
    </xf>
    <xf numFmtId="0" fontId="10" fillId="0" borderId="30" xfId="0" applyFont="1" applyBorder="1" applyAlignment="1">
      <alignment horizontal="center" vertical="center"/>
    </xf>
    <xf numFmtId="0" fontId="10" fillId="0" borderId="29" xfId="0" applyFont="1" applyBorder="1" applyAlignment="1">
      <alignment horizontal="center" vertical="center"/>
    </xf>
    <xf numFmtId="176" fontId="10" fillId="0" borderId="17" xfId="0" applyNumberFormat="1" applyFont="1" applyBorder="1" applyAlignment="1" applyProtection="1">
      <alignment horizontal="center" vertical="center" shrinkToFit="1"/>
      <protection hidden="1"/>
    </xf>
    <xf numFmtId="176" fontId="10" fillId="0" borderId="18" xfId="0" applyNumberFormat="1" applyFont="1" applyBorder="1" applyAlignment="1" applyProtection="1">
      <alignment horizontal="center" vertical="center" shrinkToFit="1"/>
      <protection hidden="1"/>
    </xf>
    <xf numFmtId="176" fontId="10" fillId="0" borderId="15" xfId="0" applyNumberFormat="1" applyFont="1" applyBorder="1" applyAlignment="1" applyProtection="1">
      <alignment horizontal="center" vertical="center" shrinkToFit="1"/>
      <protection hidden="1"/>
    </xf>
    <xf numFmtId="176" fontId="10" fillId="0" borderId="16" xfId="1" applyNumberFormat="1" applyFont="1" applyFill="1" applyBorder="1" applyAlignment="1" applyProtection="1">
      <alignment horizontal="center" vertical="center" shrinkToFit="1"/>
      <protection hidden="1"/>
    </xf>
    <xf numFmtId="176" fontId="10" fillId="0" borderId="17" xfId="1" applyNumberFormat="1" applyFont="1" applyFill="1" applyBorder="1" applyAlignment="1" applyProtection="1">
      <alignment horizontal="center" vertical="center" shrinkToFit="1"/>
      <protection hidden="1"/>
    </xf>
    <xf numFmtId="176" fontId="10" fillId="0" borderId="18" xfId="1" applyNumberFormat="1" applyFont="1" applyFill="1" applyBorder="1" applyAlignment="1" applyProtection="1">
      <alignment horizontal="center" vertical="center" shrinkToFit="1"/>
      <protection hidden="1"/>
    </xf>
    <xf numFmtId="176" fontId="10" fillId="0" borderId="59" xfId="1" applyNumberFormat="1" applyFont="1" applyFill="1" applyBorder="1" applyAlignment="1" applyProtection="1">
      <alignment horizontal="center" vertical="center" shrinkToFit="1"/>
      <protection hidden="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176" fontId="10" fillId="0" borderId="27" xfId="0" applyNumberFormat="1" applyFont="1" applyBorder="1" applyAlignment="1" applyProtection="1">
      <alignment horizontal="center" vertical="center" shrinkToFit="1"/>
      <protection hidden="1"/>
    </xf>
    <xf numFmtId="176" fontId="10" fillId="0" borderId="36" xfId="0" applyNumberFormat="1" applyFont="1" applyBorder="1" applyAlignment="1" applyProtection="1">
      <alignment horizontal="center" vertical="center" shrinkToFit="1"/>
      <protection hidden="1"/>
    </xf>
    <xf numFmtId="176" fontId="10" fillId="0" borderId="8" xfId="0" applyNumberFormat="1" applyFont="1" applyBorder="1" applyAlignment="1" applyProtection="1">
      <alignment horizontal="center" vertical="center" shrinkToFit="1"/>
      <protection hidden="1"/>
    </xf>
    <xf numFmtId="176" fontId="10" fillId="0" borderId="9" xfId="1" applyNumberFormat="1" applyFont="1" applyFill="1" applyBorder="1" applyAlignment="1" applyProtection="1">
      <alignment horizontal="center" vertical="center" shrinkToFit="1"/>
      <protection hidden="1"/>
    </xf>
    <xf numFmtId="176" fontId="10" fillId="0" borderId="60" xfId="1" applyNumberFormat="1" applyFont="1" applyFill="1" applyBorder="1" applyAlignment="1" applyProtection="1">
      <alignment horizontal="center" vertical="center" shrinkToFit="1"/>
      <protection hidden="1"/>
    </xf>
    <xf numFmtId="176" fontId="10" fillId="0" borderId="63" xfId="1" applyNumberFormat="1" applyFont="1" applyFill="1" applyBorder="1" applyAlignment="1" applyProtection="1">
      <alignment horizontal="center" vertical="center" shrinkToFit="1"/>
      <protection hidden="1"/>
    </xf>
    <xf numFmtId="176" fontId="10" fillId="0" borderId="61" xfId="1" applyNumberFormat="1" applyFont="1" applyFill="1" applyBorder="1" applyAlignment="1" applyProtection="1">
      <alignment horizontal="center" vertical="center" shrinkToFit="1"/>
      <protection hidden="1"/>
    </xf>
    <xf numFmtId="179" fontId="10" fillId="0" borderId="22" xfId="0" applyNumberFormat="1" applyFont="1" applyBorder="1" applyAlignment="1" applyProtection="1">
      <alignment horizontal="center" vertical="center"/>
      <protection hidden="1"/>
    </xf>
    <xf numFmtId="176" fontId="10" fillId="0" borderId="52" xfId="0" applyNumberFormat="1" applyFont="1" applyBorder="1" applyAlignment="1" applyProtection="1">
      <alignment horizontal="center" vertical="center"/>
      <protection hidden="1"/>
    </xf>
    <xf numFmtId="176" fontId="10" fillId="0" borderId="47" xfId="0" applyNumberFormat="1" applyFont="1" applyBorder="1" applyAlignment="1" applyProtection="1">
      <alignment horizontal="center" vertical="center"/>
      <protection hidden="1"/>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32" xfId="0" applyFont="1" applyBorder="1" applyAlignment="1">
      <alignment horizontal="center" vertical="center"/>
    </xf>
    <xf numFmtId="0" fontId="10" fillId="0" borderId="42" xfId="0" applyFont="1" applyBorder="1" applyAlignment="1">
      <alignment horizontal="center" vertical="center"/>
    </xf>
    <xf numFmtId="0" fontId="10" fillId="0" borderId="62" xfId="0" applyFont="1" applyBorder="1" applyAlignment="1">
      <alignment horizontal="center" vertical="center"/>
    </xf>
    <xf numFmtId="0" fontId="8" fillId="3" borderId="26" xfId="0" applyFont="1" applyFill="1" applyBorder="1" applyAlignment="1">
      <alignment horizontal="center" vertical="center"/>
    </xf>
    <xf numFmtId="0" fontId="8" fillId="3" borderId="5" xfId="0" applyFont="1" applyFill="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10" fillId="0" borderId="39"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22" xfId="0" applyFont="1" applyBorder="1" applyAlignment="1">
      <alignment horizontal="center" vertical="center" wrapText="1"/>
    </xf>
    <xf numFmtId="176" fontId="10" fillId="0" borderId="17" xfId="0" applyNumberFormat="1" applyFont="1" applyBorder="1" applyAlignment="1" applyProtection="1">
      <alignment horizontal="center" vertical="center"/>
      <protection hidden="1"/>
    </xf>
    <xf numFmtId="176" fontId="10" fillId="0" borderId="59" xfId="0" applyNumberFormat="1" applyFont="1" applyBorder="1" applyAlignment="1" applyProtection="1">
      <alignment horizontal="center" vertical="center"/>
      <protection hidden="1"/>
    </xf>
    <xf numFmtId="178" fontId="10" fillId="0" borderId="39" xfId="0" applyNumberFormat="1" applyFont="1" applyBorder="1" applyAlignment="1" applyProtection="1">
      <alignment horizontal="center" vertical="center"/>
      <protection hidden="1"/>
    </xf>
    <xf numFmtId="178" fontId="10" fillId="0" borderId="16" xfId="0" applyNumberFormat="1" applyFont="1" applyBorder="1" applyAlignment="1" applyProtection="1">
      <alignment horizontal="center" vertical="center"/>
      <protection hidden="1"/>
    </xf>
    <xf numFmtId="176" fontId="10" fillId="0" borderId="16" xfId="0" applyNumberFormat="1" applyFont="1" applyBorder="1" applyAlignment="1" applyProtection="1">
      <alignment horizontal="center" vertical="center"/>
      <protection hidden="1"/>
    </xf>
    <xf numFmtId="176" fontId="10" fillId="0" borderId="22" xfId="0" applyNumberFormat="1" applyFont="1" applyBorder="1" applyAlignment="1" applyProtection="1">
      <alignment horizontal="center" vertical="center"/>
      <protection hidden="1"/>
    </xf>
    <xf numFmtId="179" fontId="10" fillId="0" borderId="16" xfId="0" applyNumberFormat="1" applyFont="1" applyBorder="1" applyAlignment="1" applyProtection="1">
      <alignment horizontal="center" vertical="center"/>
      <protection hidden="1"/>
    </xf>
    <xf numFmtId="178" fontId="10" fillId="0" borderId="40" xfId="0" applyNumberFormat="1" applyFont="1" applyBorder="1" applyAlignment="1" applyProtection="1">
      <alignment horizontal="center" vertical="center"/>
      <protection hidden="1"/>
    </xf>
    <xf numFmtId="178" fontId="10" fillId="0" borderId="22" xfId="0" applyNumberFormat="1" applyFont="1" applyBorder="1" applyAlignment="1" applyProtection="1">
      <alignment horizontal="center" vertical="center"/>
      <protection hidden="1"/>
    </xf>
    <xf numFmtId="3" fontId="9" fillId="2" borderId="16" xfId="0" applyNumberFormat="1" applyFont="1" applyFill="1" applyBorder="1" applyAlignment="1">
      <alignment horizontal="center" vertical="center"/>
    </xf>
    <xf numFmtId="3" fontId="9" fillId="2" borderId="72" xfId="0" applyNumberFormat="1" applyFont="1" applyFill="1" applyBorder="1" applyAlignment="1">
      <alignment horizontal="center" vertical="center"/>
    </xf>
    <xf numFmtId="0" fontId="9" fillId="0" borderId="2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3" fontId="9" fillId="2" borderId="88" xfId="0" applyNumberFormat="1" applyFont="1" applyFill="1" applyBorder="1" applyAlignment="1">
      <alignment horizontal="center" vertical="center" shrinkToFit="1"/>
    </xf>
    <xf numFmtId="3" fontId="9" fillId="2" borderId="89" xfId="0" applyNumberFormat="1" applyFont="1" applyFill="1" applyBorder="1" applyAlignment="1">
      <alignment horizontal="center" vertical="center" shrinkToFit="1"/>
    </xf>
    <xf numFmtId="3" fontId="9" fillId="2" borderId="89" xfId="0" applyNumberFormat="1" applyFont="1" applyFill="1" applyBorder="1" applyAlignment="1">
      <alignment horizontal="center" vertical="center"/>
    </xf>
    <xf numFmtId="3" fontId="9" fillId="2" borderId="92" xfId="0" applyNumberFormat="1" applyFont="1" applyFill="1" applyBorder="1" applyAlignment="1">
      <alignment horizontal="center" vertical="center"/>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3" fontId="9" fillId="2" borderId="71" xfId="0" applyNumberFormat="1" applyFont="1" applyFill="1" applyBorder="1" applyAlignment="1">
      <alignment horizontal="center" vertical="center" shrinkToFit="1"/>
    </xf>
    <xf numFmtId="3" fontId="9" fillId="2" borderId="16" xfId="0" applyNumberFormat="1" applyFont="1" applyFill="1" applyBorder="1" applyAlignment="1">
      <alignment horizontal="center" vertical="center" shrinkToFit="1"/>
    </xf>
    <xf numFmtId="0" fontId="4" fillId="0" borderId="16" xfId="0" applyFont="1" applyBorder="1" applyAlignment="1">
      <alignment horizontal="center" vertical="center"/>
    </xf>
    <xf numFmtId="0" fontId="9" fillId="0" borderId="84" xfId="0" applyFont="1" applyBorder="1" applyAlignment="1">
      <alignment horizontal="center" vertical="center" wrapText="1" shrinkToFit="1"/>
    </xf>
    <xf numFmtId="0" fontId="9" fillId="0" borderId="90"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0" borderId="27" xfId="0" applyFont="1" applyBorder="1" applyAlignment="1">
      <alignment horizontal="center" vertical="center" shrinkToFit="1"/>
    </xf>
    <xf numFmtId="3" fontId="9" fillId="2" borderId="86" xfId="0" applyNumberFormat="1" applyFont="1" applyFill="1" applyBorder="1" applyAlignment="1">
      <alignment horizontal="center" vertical="center" shrinkToFit="1"/>
    </xf>
    <xf numFmtId="3" fontId="9" fillId="2" borderId="9" xfId="0" applyNumberFormat="1" applyFont="1" applyFill="1" applyBorder="1" applyAlignment="1">
      <alignment horizontal="center" vertical="center" shrinkToFit="1"/>
    </xf>
    <xf numFmtId="3" fontId="9" fillId="2" borderId="9" xfId="0" applyNumberFormat="1" applyFont="1" applyFill="1" applyBorder="1" applyAlignment="1">
      <alignment horizontal="center" vertical="center"/>
    </xf>
    <xf numFmtId="3" fontId="9" fillId="2" borderId="91" xfId="0" applyNumberFormat="1" applyFont="1" applyFill="1" applyBorder="1" applyAlignment="1">
      <alignment horizontal="center" vertical="center"/>
    </xf>
    <xf numFmtId="0" fontId="9" fillId="0" borderId="42"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21" fillId="0" borderId="67" xfId="0" applyFont="1" applyBorder="1" applyAlignment="1">
      <alignment horizontal="center" vertical="center"/>
    </xf>
    <xf numFmtId="0" fontId="21" fillId="2" borderId="71" xfId="0" applyFont="1" applyFill="1" applyBorder="1" applyAlignment="1">
      <alignment horizontal="center" vertical="center" wrapText="1" shrinkToFit="1"/>
    </xf>
    <xf numFmtId="0" fontId="21" fillId="2" borderId="16" xfId="0" applyFont="1" applyFill="1" applyBorder="1" applyAlignment="1">
      <alignment horizontal="center" vertical="center" wrapText="1" shrinkToFit="1"/>
    </xf>
    <xf numFmtId="0" fontId="21" fillId="2" borderId="88" xfId="0" applyFont="1" applyFill="1" applyBorder="1" applyAlignment="1">
      <alignment horizontal="center" vertical="center" wrapText="1" shrinkToFit="1"/>
    </xf>
    <xf numFmtId="0" fontId="21" fillId="2" borderId="89" xfId="0" applyFont="1" applyFill="1" applyBorder="1" applyAlignment="1">
      <alignment horizontal="center" vertical="center" wrapText="1" shrinkToFit="1"/>
    </xf>
    <xf numFmtId="180" fontId="21" fillId="2" borderId="16" xfId="0" applyNumberFormat="1" applyFont="1" applyFill="1" applyBorder="1" applyAlignment="1">
      <alignment horizontal="center" vertical="center" shrinkToFit="1"/>
    </xf>
    <xf numFmtId="180" fontId="21" fillId="2" borderId="89" xfId="0" applyNumberFormat="1" applyFont="1" applyFill="1" applyBorder="1" applyAlignment="1">
      <alignment horizontal="center" vertical="center" shrinkToFit="1"/>
    </xf>
    <xf numFmtId="0" fontId="5" fillId="2" borderId="82" xfId="0" applyFont="1" applyFill="1" applyBorder="1" applyAlignment="1">
      <alignment horizontal="center" vertical="center" shrinkToFit="1"/>
    </xf>
    <xf numFmtId="0" fontId="5" fillId="2" borderId="74" xfId="0" applyFont="1" applyFill="1" applyBorder="1" applyAlignment="1">
      <alignment horizontal="center" vertical="center" shrinkToFit="1"/>
    </xf>
    <xf numFmtId="0" fontId="9" fillId="0" borderId="27" xfId="0" applyFont="1" applyBorder="1" applyAlignment="1">
      <alignment horizontal="center" vertical="center" wrapText="1" shrinkToFit="1"/>
    </xf>
    <xf numFmtId="0" fontId="9" fillId="0" borderId="36"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0" xfId="0" applyFont="1" applyAlignment="1">
      <alignment horizontal="center" vertical="center" shrinkToFit="1"/>
    </xf>
    <xf numFmtId="0" fontId="9" fillId="0" borderId="52" xfId="0" applyFont="1" applyBorder="1" applyAlignment="1">
      <alignment horizontal="center" vertical="center" shrinkToFit="1"/>
    </xf>
    <xf numFmtId="0" fontId="9" fillId="0" borderId="46" xfId="0" applyFont="1" applyBorder="1" applyAlignment="1">
      <alignment horizontal="center" vertical="center" shrinkToFit="1"/>
    </xf>
    <xf numFmtId="56" fontId="4" fillId="0" borderId="17" xfId="0" applyNumberFormat="1" applyFont="1" applyBorder="1" applyAlignment="1">
      <alignment horizontal="center" vertical="center"/>
    </xf>
    <xf numFmtId="56" fontId="4" fillId="0" borderId="18" xfId="0" applyNumberFormat="1" applyFont="1" applyBorder="1" applyAlignment="1">
      <alignment horizontal="center" vertical="center"/>
    </xf>
    <xf numFmtId="56" fontId="4" fillId="0" borderId="15" xfId="0" applyNumberFormat="1"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5" fillId="2" borderId="18" xfId="0" applyFont="1" applyFill="1" applyBorder="1" applyAlignment="1">
      <alignment horizontal="center" vertical="center" shrinkToFit="1"/>
    </xf>
    <xf numFmtId="0" fontId="5" fillId="2" borderId="73" xfId="0" applyFont="1" applyFill="1" applyBorder="1" applyAlignment="1">
      <alignment horizontal="center" vertical="center" shrinkToFit="1"/>
    </xf>
    <xf numFmtId="0" fontId="21" fillId="0" borderId="68" xfId="0" applyFont="1" applyBorder="1" applyAlignment="1">
      <alignment horizontal="center" vertical="center"/>
    </xf>
    <xf numFmtId="0" fontId="21" fillId="0" borderId="66" xfId="0" applyFont="1" applyBorder="1" applyAlignment="1">
      <alignment horizontal="center" vertical="center"/>
    </xf>
    <xf numFmtId="0" fontId="21" fillId="2" borderId="86"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180" fontId="21" fillId="2" borderId="9" xfId="0" applyNumberFormat="1"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7" fillId="0" borderId="0" xfId="0" applyFont="1" applyAlignment="1">
      <alignment horizontal="left" vertical="center"/>
    </xf>
    <xf numFmtId="0" fontId="4" fillId="0" borderId="81" xfId="0" applyFont="1" applyBorder="1" applyAlignment="1">
      <alignment horizontal="center" vertical="center" wrapText="1" shrinkToFit="1"/>
    </xf>
    <xf numFmtId="0" fontId="4" fillId="0" borderId="69" xfId="0" applyFont="1" applyBorder="1" applyAlignment="1">
      <alignment horizontal="center" vertical="center" wrapText="1" shrinkToFit="1"/>
    </xf>
    <xf numFmtId="10" fontId="9" fillId="0" borderId="8" xfId="0" applyNumberFormat="1" applyFont="1" applyBorder="1" applyAlignment="1">
      <alignment horizontal="center" vertical="center"/>
    </xf>
    <xf numFmtId="10" fontId="9" fillId="0" borderId="9"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2"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13" xfId="0" applyNumberFormat="1" applyFont="1" applyBorder="1" applyAlignment="1">
      <alignment horizontal="center" vertical="center"/>
    </xf>
    <xf numFmtId="10" fontId="9" fillId="0" borderId="15" xfId="0" applyNumberFormat="1" applyFont="1" applyBorder="1" applyAlignment="1">
      <alignment horizontal="center" vertical="center"/>
    </xf>
    <xf numFmtId="10" fontId="9" fillId="0" borderId="16"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14" fillId="0" borderId="33"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10" fontId="9" fillId="0" borderId="21" xfId="0" applyNumberFormat="1" applyFont="1" applyBorder="1" applyAlignment="1">
      <alignment horizontal="center" vertical="center"/>
    </xf>
    <xf numFmtId="10" fontId="9" fillId="0" borderId="22" xfId="0" applyNumberFormat="1" applyFont="1" applyBorder="1" applyAlignment="1">
      <alignment horizontal="center" vertical="center"/>
    </xf>
    <xf numFmtId="176" fontId="9" fillId="0" borderId="23" xfId="0" applyNumberFormat="1" applyFont="1" applyBorder="1" applyAlignment="1">
      <alignment horizontal="center" vertical="center"/>
    </xf>
    <xf numFmtId="176" fontId="9" fillId="0" borderId="24"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25" xfId="0" applyNumberFormat="1" applyFont="1" applyBorder="1" applyAlignment="1">
      <alignment horizontal="center" vertical="center"/>
    </xf>
    <xf numFmtId="3" fontId="9" fillId="2" borderId="22" xfId="0" applyNumberFormat="1" applyFont="1" applyFill="1" applyBorder="1" applyAlignment="1">
      <alignment horizontal="center" vertical="center" shrinkToFit="1"/>
    </xf>
    <xf numFmtId="3" fontId="9" fillId="2" borderId="22" xfId="0" applyNumberFormat="1" applyFont="1" applyFill="1" applyBorder="1" applyAlignment="1">
      <alignment horizontal="center" vertical="center"/>
    </xf>
    <xf numFmtId="3" fontId="9" fillId="2" borderId="25" xfId="0" applyNumberFormat="1" applyFont="1" applyFill="1" applyBorder="1" applyAlignment="1">
      <alignment horizontal="center" vertical="center"/>
    </xf>
    <xf numFmtId="3" fontId="9" fillId="2" borderId="19" xfId="0" applyNumberFormat="1" applyFont="1" applyFill="1" applyBorder="1" applyAlignment="1">
      <alignment horizontal="center" vertical="center"/>
    </xf>
    <xf numFmtId="3" fontId="9" fillId="2" borderId="13" xfId="0" applyNumberFormat="1" applyFont="1" applyFill="1" applyBorder="1" applyAlignment="1">
      <alignment horizontal="center" vertical="center"/>
    </xf>
    <xf numFmtId="0" fontId="9" fillId="0" borderId="42" xfId="0" applyFont="1" applyBorder="1" applyAlignment="1">
      <alignment horizontal="center" vertical="center" wrapText="1" shrinkToFit="1"/>
    </xf>
    <xf numFmtId="0" fontId="9" fillId="0" borderId="43" xfId="0" applyFont="1" applyBorder="1" applyAlignment="1">
      <alignment horizontal="center" vertical="center" wrapText="1" shrinkToFit="1"/>
    </xf>
    <xf numFmtId="180" fontId="9" fillId="2" borderId="16" xfId="0" applyNumberFormat="1" applyFont="1" applyFill="1" applyBorder="1" applyAlignment="1">
      <alignment horizontal="center" vertical="center" shrinkToFit="1"/>
    </xf>
    <xf numFmtId="0" fontId="9" fillId="0" borderId="41" xfId="0" applyFont="1" applyBorder="1" applyAlignment="1">
      <alignment horizontal="center" vertical="center"/>
    </xf>
    <xf numFmtId="0" fontId="9" fillId="0" borderId="39" xfId="0" applyFont="1" applyBorder="1" applyAlignment="1">
      <alignment horizontal="center" vertical="center"/>
    </xf>
    <xf numFmtId="0" fontId="9" fillId="2" borderId="16"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180" fontId="9" fillId="2" borderId="9" xfId="0" applyNumberFormat="1" applyFont="1" applyFill="1" applyBorder="1" applyAlignment="1">
      <alignment horizontal="center" vertical="center" shrinkToFit="1"/>
    </xf>
    <xf numFmtId="0" fontId="9" fillId="0" borderId="18"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4" fillId="2" borderId="17"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1" xfId="0" applyFont="1" applyFill="1" applyBorder="1" applyAlignment="1">
      <alignment horizontal="center" vertical="center" shrinkToFit="1"/>
    </xf>
    <xf numFmtId="0" fontId="4" fillId="0" borderId="57" xfId="0" applyFont="1" applyBorder="1" applyAlignment="1">
      <alignment horizontal="center" vertical="center" wrapText="1" shrinkToFit="1"/>
    </xf>
    <xf numFmtId="0" fontId="4" fillId="0" borderId="62" xfId="0" applyFont="1" applyBorder="1" applyAlignment="1">
      <alignment horizontal="center" vertical="center" wrapText="1" shrinkToFit="1"/>
    </xf>
    <xf numFmtId="0" fontId="9" fillId="0" borderId="54" xfId="0" applyFont="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15" xfId="0" applyNumberFormat="1" applyFont="1" applyFill="1" applyBorder="1" applyAlignment="1">
      <alignment horizontal="center" vertical="center"/>
    </xf>
    <xf numFmtId="176" fontId="9" fillId="0" borderId="8" xfId="0" applyNumberFormat="1" applyFont="1" applyBorder="1" applyAlignment="1">
      <alignment horizontal="center" vertical="center" shrinkToFit="1"/>
    </xf>
    <xf numFmtId="176" fontId="9" fillId="0" borderId="15" xfId="0" applyNumberFormat="1" applyFont="1" applyBorder="1" applyAlignment="1">
      <alignment horizontal="center" vertical="center" shrinkToFit="1"/>
    </xf>
  </cellXfs>
  <cellStyles count="2">
    <cellStyle name="桁区切り" xfId="1" builtinId="6"/>
    <cellStyle name="標準" xfId="0" builtinId="0"/>
  </cellStyles>
  <dxfs count="28">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rgb="FFFFFF00"/>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258535</xdr:colOff>
      <xdr:row>3</xdr:row>
      <xdr:rowOff>68036</xdr:rowOff>
    </xdr:from>
    <xdr:to>
      <xdr:col>14</xdr:col>
      <xdr:colOff>476250</xdr:colOff>
      <xdr:row>8</xdr:row>
      <xdr:rowOff>217715</xdr:rowOff>
    </xdr:to>
    <xdr:sp macro="" textlink="">
      <xdr:nvSpPr>
        <xdr:cNvPr id="2" name="テキスト ボックス 1">
          <a:extLst>
            <a:ext uri="{FF2B5EF4-FFF2-40B4-BE49-F238E27FC236}">
              <a16:creationId xmlns:a16="http://schemas.microsoft.com/office/drawing/2014/main" id="{840B75A5-350D-C0AF-0AB9-5767BC05CF8A}"/>
            </a:ext>
          </a:extLst>
        </xdr:cNvPr>
        <xdr:cNvSpPr txBox="1"/>
      </xdr:nvSpPr>
      <xdr:spPr>
        <a:xfrm>
          <a:off x="2694214" y="1183822"/>
          <a:ext cx="6789965" cy="2068286"/>
        </a:xfrm>
        <a:prstGeom prst="wedgeRoundRectCallout">
          <a:avLst>
            <a:gd name="adj1" fmla="val -26821"/>
            <a:gd name="adj2" fmla="val 7321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ステップ①</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国民健康保険の被保険者が属する世帯の世帯主と、被保険者の氏名・生年月日・各月の健康保険の加入状況を入力してください。社会保険に加入している世帯員は入力する必要がありません。</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・国保</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世帯主及び世帯員で、国民健康保険に加入している方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・社保</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世帯主で、社会保険に加入している方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・後期</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世帯主で、満８３歳以上の方</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・（特）後期</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世帯主及び世帯員で、後期高齢者医療保険に加入している滿８２歳以下の方</a:t>
          </a:r>
        </a:p>
      </xdr:txBody>
    </xdr:sp>
    <xdr:clientData/>
  </xdr:twoCellAnchor>
  <xdr:twoCellAnchor>
    <xdr:from>
      <xdr:col>14</xdr:col>
      <xdr:colOff>544286</xdr:colOff>
      <xdr:row>3</xdr:row>
      <xdr:rowOff>81643</xdr:rowOff>
    </xdr:from>
    <xdr:to>
      <xdr:col>19</xdr:col>
      <xdr:colOff>312965</xdr:colOff>
      <xdr:row>8</xdr:row>
      <xdr:rowOff>190500</xdr:rowOff>
    </xdr:to>
    <xdr:sp macro="" textlink="">
      <xdr:nvSpPr>
        <xdr:cNvPr id="3" name="テキスト ボックス 2">
          <a:extLst>
            <a:ext uri="{FF2B5EF4-FFF2-40B4-BE49-F238E27FC236}">
              <a16:creationId xmlns:a16="http://schemas.microsoft.com/office/drawing/2014/main" id="{81B03ACD-7684-4576-9C84-AF33DEEF8F92}"/>
            </a:ext>
          </a:extLst>
        </xdr:cNvPr>
        <xdr:cNvSpPr txBox="1"/>
      </xdr:nvSpPr>
      <xdr:spPr>
        <a:xfrm>
          <a:off x="9552215" y="1197429"/>
          <a:ext cx="2667000" cy="2027464"/>
        </a:xfrm>
        <a:prstGeom prst="wedgeRoundRectCallout">
          <a:avLst>
            <a:gd name="adj1" fmla="val 21895"/>
            <a:gd name="adj2" fmla="val 7946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ステップ②</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既に被保険者がいる世帯内に、追加で加入する場合、追加する方に「</a:t>
          </a:r>
          <a:r>
            <a:rPr kumimoji="1" lang="ja-JP" altLang="en-US" sz="1200" b="1">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」を入力してください。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19</xdr:col>
      <xdr:colOff>408214</xdr:colOff>
      <xdr:row>3</xdr:row>
      <xdr:rowOff>95250</xdr:rowOff>
    </xdr:from>
    <xdr:to>
      <xdr:col>46</xdr:col>
      <xdr:colOff>1020535</xdr:colOff>
      <xdr:row>8</xdr:row>
      <xdr:rowOff>174172</xdr:rowOff>
    </xdr:to>
    <xdr:sp macro="" textlink="">
      <xdr:nvSpPr>
        <xdr:cNvPr id="4" name="テキスト ボックス 3">
          <a:extLst>
            <a:ext uri="{FF2B5EF4-FFF2-40B4-BE49-F238E27FC236}">
              <a16:creationId xmlns:a16="http://schemas.microsoft.com/office/drawing/2014/main" id="{0C4B3BD1-CE1B-47E6-A1E5-8BFD402D3AE4}"/>
            </a:ext>
          </a:extLst>
        </xdr:cNvPr>
        <xdr:cNvSpPr txBox="1"/>
      </xdr:nvSpPr>
      <xdr:spPr>
        <a:xfrm>
          <a:off x="12314464" y="1211036"/>
          <a:ext cx="2667000" cy="1997529"/>
        </a:xfrm>
        <a:prstGeom prst="wedgeRoundRectCallout">
          <a:avLst>
            <a:gd name="adj1" fmla="val -34738"/>
            <a:gd name="adj2" fmla="val 85164"/>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ステップ③</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離職理由が解雇等の場合、軽減制度が適用されるので、雇用保険受給資格者証に記載されている</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離職コード</a:t>
          </a:r>
          <a:r>
            <a:rPr kumimoji="1" lang="ja-JP" altLang="en-US" sz="1200" b="0">
              <a:latin typeface="HG創英角ﾎﾟｯﾌﾟ体" panose="040B0A09000000000000" pitchFamily="49" charset="-128"/>
              <a:ea typeface="HG創英角ﾎﾟｯﾌﾟ体" panose="040B0A09000000000000" pitchFamily="49" charset="-128"/>
            </a:rPr>
            <a:t>を入力してください。選択肢がない場合は軽減を受けることができません。</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7</xdr:col>
      <xdr:colOff>408213</xdr:colOff>
      <xdr:row>25</xdr:row>
      <xdr:rowOff>95250</xdr:rowOff>
    </xdr:from>
    <xdr:to>
      <xdr:col>21</xdr:col>
      <xdr:colOff>380999</xdr:colOff>
      <xdr:row>45</xdr:row>
      <xdr:rowOff>190500</xdr:rowOff>
    </xdr:to>
    <xdr:sp macro="" textlink="">
      <xdr:nvSpPr>
        <xdr:cNvPr id="5" name="テキスト ボックス 4">
          <a:extLst>
            <a:ext uri="{FF2B5EF4-FFF2-40B4-BE49-F238E27FC236}">
              <a16:creationId xmlns:a16="http://schemas.microsoft.com/office/drawing/2014/main" id="{0E197485-2806-4932-97CA-8501B00FEEB2}"/>
            </a:ext>
          </a:extLst>
        </xdr:cNvPr>
        <xdr:cNvSpPr txBox="1"/>
      </xdr:nvSpPr>
      <xdr:spPr>
        <a:xfrm>
          <a:off x="5392589" y="5814732"/>
          <a:ext cx="8103775" cy="4496921"/>
        </a:xfrm>
        <a:prstGeom prst="wedgeRoundRectCallout">
          <a:avLst>
            <a:gd name="adj1" fmla="val -58271"/>
            <a:gd name="adj2" fmla="val 49540"/>
            <a:gd name="adj3" fmla="val 16667"/>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創英角ﾎﾟｯﾌﾟ体" panose="040B0A09000000000000" pitchFamily="49" charset="-128"/>
              <a:ea typeface="HG創英角ﾎﾟｯﾌﾟ体" panose="040B0A09000000000000" pitchFamily="49" charset="-128"/>
            </a:rPr>
            <a:t>ステップ④</a:t>
          </a:r>
          <a:endParaRPr kumimoji="1" lang="en-US" altLang="ja-JP" sz="160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前年中の収入・所得状況を源泉徴収票や確定申告書を参考に入力してください。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給与と年金は収入金額</a:t>
          </a:r>
          <a:r>
            <a:rPr kumimoji="1" lang="ja-JP" altLang="en-US" sz="1200" b="0">
              <a:latin typeface="HG創英角ﾎﾟｯﾌﾟ体" panose="040B0A09000000000000" pitchFamily="49" charset="-128"/>
              <a:ea typeface="HG創英角ﾎﾟｯﾌﾟ体" panose="040B0A09000000000000" pitchFamily="49" charset="-128"/>
            </a:rPr>
            <a:t>（実際にもらった金額）を入力します。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a:t>
          </a:r>
          <a:r>
            <a:rPr kumimoji="1" lang="ja-JP" altLang="en-US" sz="1200" b="0">
              <a:solidFill>
                <a:srgbClr val="FF0000"/>
              </a:solidFill>
              <a:latin typeface="HG創英角ﾎﾟｯﾌﾟ体" panose="040B0A09000000000000" pitchFamily="49" charset="-128"/>
              <a:ea typeface="HG創英角ﾎﾟｯﾌﾟ体" panose="040B0A09000000000000" pitchFamily="49" charset="-128"/>
            </a:rPr>
            <a:t>事業所得とその他所得は、所得金額</a:t>
          </a:r>
          <a:r>
            <a:rPr kumimoji="1" lang="ja-JP" altLang="en-US" sz="1200" b="0">
              <a:latin typeface="HG創英角ﾎﾟｯﾌﾟ体" panose="040B0A09000000000000" pitchFamily="49" charset="-128"/>
              <a:ea typeface="HG創英角ﾎﾟｯﾌﾟ体" panose="040B0A09000000000000" pitchFamily="49" charset="-128"/>
            </a:rPr>
            <a:t>（収入から経費などを差し引いた金額）を入力します。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給与収入の内、事業専従者給与でもらった分を別でもう一度入力してください。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事業所得の内、事業専従者控除で差し引いた分を別で入力してくだい。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繰越損失と事業専従者控除の両方がある場合、税額が正確に計算されない場合があります。</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その他所得には、給与・年金・事業以外の全ての所得（分離課税分も含む）を合算して入力してください。</a:t>
          </a:r>
          <a:endParaRPr kumimoji="1" lang="en-US" altLang="ja-JP" sz="1200" b="0">
            <a:latin typeface="HG創英角ﾎﾟｯﾌﾟ体" panose="040B0A09000000000000" pitchFamily="49" charset="-128"/>
            <a:ea typeface="HG創英角ﾎﾟｯﾌﾟ体" panose="040B0A09000000000000" pitchFamily="49" charset="-128"/>
          </a:endParaRPr>
        </a:p>
        <a:p>
          <a:r>
            <a:rPr kumimoji="1" lang="ja-JP" altLang="en-US" sz="1200" b="0">
              <a:latin typeface="HG創英角ﾎﾟｯﾌﾟ体" panose="040B0A09000000000000" pitchFamily="49" charset="-128"/>
              <a:ea typeface="HG創英角ﾎﾟｯﾌﾟ体" panose="040B0A09000000000000" pitchFamily="49" charset="-128"/>
            </a:rPr>
            <a:t>　</a:t>
          </a:r>
          <a:r>
            <a:rPr kumimoji="1" lang="en-US" altLang="ja-JP" sz="1200" b="0">
              <a:latin typeface="HG創英角ﾎﾟｯﾌﾟ体" panose="040B0A09000000000000" pitchFamily="49" charset="-128"/>
              <a:ea typeface="HG創英角ﾎﾟｯﾌﾟ体" panose="040B0A09000000000000" pitchFamily="49" charset="-128"/>
            </a:rPr>
            <a:t>※</a:t>
          </a:r>
          <a:r>
            <a:rPr kumimoji="1" lang="ja-JP" altLang="en-US" sz="1200" b="0">
              <a:latin typeface="HG創英角ﾎﾟｯﾌﾟ体" panose="040B0A09000000000000" pitchFamily="49" charset="-128"/>
              <a:ea typeface="HG創英角ﾎﾟｯﾌﾟ体" panose="040B0A09000000000000" pitchFamily="49" charset="-128"/>
            </a:rPr>
            <a:t>国民健康保険税を計算する上で、基礎控除以外の所得控除はありませんので入力不要です。</a:t>
          </a:r>
          <a:endParaRPr kumimoji="1" lang="en-US" altLang="ja-JP" sz="1200" b="0">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A6877-9C15-4576-9C0A-F6609CC16258}">
  <sheetPr>
    <pageSetUpPr fitToPage="1"/>
  </sheetPr>
  <dimension ref="A1:BF81"/>
  <sheetViews>
    <sheetView showZeros="0" view="pageBreakPreview" zoomScale="85" zoomScaleNormal="98" zoomScaleSheetLayoutView="85" workbookViewId="0"/>
  </sheetViews>
  <sheetFormatPr defaultColWidth="9" defaultRowHeight="16.2" x14ac:dyDescent="0.45"/>
  <cols>
    <col min="1" max="1" width="3.09765625" style="1" customWidth="1"/>
    <col min="2" max="2" width="20" style="1" customWidth="1"/>
    <col min="3" max="6" width="8.69921875" style="1" customWidth="1"/>
    <col min="7" max="18" width="7.5" style="1" customWidth="1"/>
    <col min="19" max="19" width="8" style="5" bestFit="1" customWidth="1"/>
    <col min="20" max="20" width="8" style="5" customWidth="1"/>
    <col min="21" max="22" width="7.8984375" style="1" customWidth="1"/>
    <col min="23" max="23" width="3.09765625" style="1" customWidth="1"/>
    <col min="24" max="24" width="7.69921875" style="1" customWidth="1"/>
    <col min="25" max="25" width="10.09765625" style="1" customWidth="1"/>
    <col min="26" max="26" width="15.5" style="1" customWidth="1"/>
    <col min="27" max="27" width="13.69921875" style="1" customWidth="1"/>
    <col min="28" max="29" width="21" style="1" customWidth="1"/>
    <col min="30" max="30" width="11.69921875" style="1" customWidth="1"/>
    <col min="31" max="31" width="15.5" style="1" customWidth="1"/>
    <col min="32" max="33" width="13.69921875" style="1" customWidth="1"/>
    <col min="34" max="34" width="21" style="1" customWidth="1"/>
    <col min="35" max="35" width="15.5" style="5" customWidth="1"/>
    <col min="36" max="36" width="15.5" style="1" customWidth="1"/>
    <col min="37" max="37" width="11.69921875" style="1" customWidth="1"/>
    <col min="38" max="38" width="13.69921875" style="1" customWidth="1"/>
    <col min="39" max="39" width="13.3984375" style="1" customWidth="1"/>
    <col min="40" max="41" width="9.8984375" style="1" customWidth="1"/>
    <col min="42" max="42" width="8.19921875" style="1" customWidth="1"/>
    <col min="43" max="43" width="9.8984375" style="1" customWidth="1"/>
    <col min="44" max="44" width="13.3984375" style="1" customWidth="1"/>
    <col min="45" max="45" width="11.69921875" style="1" customWidth="1"/>
    <col min="46" max="46" width="15.5" style="1" customWidth="1"/>
    <col min="47" max="47" width="15.19921875" style="1" customWidth="1"/>
    <col min="48" max="48" width="28.19921875" style="1" customWidth="1"/>
    <col min="49" max="49" width="11.8984375" style="1" customWidth="1"/>
    <col min="50" max="50" width="10" style="1" customWidth="1"/>
    <col min="51" max="51" width="12.09765625" style="1" customWidth="1"/>
    <col min="52" max="60" width="9" style="1" customWidth="1"/>
    <col min="61" max="16384" width="9" style="1"/>
  </cols>
  <sheetData>
    <row r="1" spans="2:48" ht="33.75" customHeight="1" thickBot="1" x14ac:dyDescent="0.5">
      <c r="B1" s="90">
        <v>2024</v>
      </c>
      <c r="L1" s="2"/>
      <c r="M1" s="2"/>
      <c r="N1" s="2"/>
      <c r="O1" s="2"/>
      <c r="P1" s="2"/>
      <c r="Q1" s="2"/>
      <c r="R1" s="2"/>
      <c r="S1" s="3"/>
      <c r="T1" s="3"/>
      <c r="U1" s="3"/>
      <c r="V1" s="3"/>
      <c r="W1" s="3"/>
      <c r="X1" s="3"/>
      <c r="Y1" s="3"/>
      <c r="Z1" s="3"/>
      <c r="AA1" s="3"/>
      <c r="AB1" s="3"/>
      <c r="AC1" s="3"/>
      <c r="AD1" s="3"/>
      <c r="AE1" s="3"/>
      <c r="AF1" s="3"/>
      <c r="AG1" s="3"/>
      <c r="AH1" s="3"/>
      <c r="AI1" s="3"/>
      <c r="AJ1" s="3"/>
      <c r="AK1" s="3"/>
    </row>
    <row r="2" spans="2:48" ht="22.8" thickBot="1" x14ac:dyDescent="0.5">
      <c r="B2" s="46"/>
      <c r="L2" s="2"/>
      <c r="M2" s="2"/>
      <c r="N2" s="2"/>
      <c r="O2" s="2"/>
      <c r="P2" s="2"/>
      <c r="Q2" s="2"/>
      <c r="R2" s="2"/>
      <c r="S2" s="3"/>
      <c r="T2" s="3"/>
      <c r="U2" s="3"/>
      <c r="V2" s="3"/>
      <c r="W2" s="3"/>
      <c r="X2" s="3"/>
      <c r="Y2" s="3"/>
      <c r="Z2" s="3"/>
      <c r="AA2" s="3"/>
      <c r="AB2" s="3"/>
      <c r="AC2" s="3"/>
      <c r="AD2" s="3"/>
      <c r="AE2" s="3"/>
      <c r="AF2" s="3"/>
      <c r="AG2" s="3"/>
      <c r="AH2" s="3"/>
      <c r="AI2" s="3"/>
      <c r="AJ2" s="3"/>
      <c r="AK2" s="3"/>
    </row>
    <row r="3" spans="2:48" ht="29.25" customHeight="1" thickBot="1" x14ac:dyDescent="0.5">
      <c r="B3" s="179" t="s">
        <v>90</v>
      </c>
      <c r="C3" s="180"/>
      <c r="D3" s="180"/>
      <c r="E3" s="180"/>
      <c r="F3" s="180"/>
      <c r="G3" s="180"/>
      <c r="H3" s="180"/>
      <c r="I3" s="180"/>
      <c r="J3" s="180"/>
      <c r="K3" s="180"/>
      <c r="L3" s="180"/>
      <c r="M3" s="180"/>
      <c r="N3" s="180"/>
      <c r="O3" s="180"/>
      <c r="P3" s="180"/>
      <c r="Q3" s="180"/>
      <c r="R3" s="180"/>
      <c r="S3" s="180"/>
      <c r="T3" s="180"/>
      <c r="U3" s="180"/>
      <c r="V3" s="180"/>
      <c r="W3" s="78"/>
      <c r="X3" s="4"/>
      <c r="Y3" s="4"/>
      <c r="Z3" s="4"/>
      <c r="AA3" s="4"/>
      <c r="AB3" s="4"/>
      <c r="AC3" s="4"/>
      <c r="AD3" s="4"/>
      <c r="AE3" s="4"/>
      <c r="AF3" s="4"/>
      <c r="AG3" s="4"/>
      <c r="AH3" s="4"/>
      <c r="AI3" s="4"/>
      <c r="AJ3" s="4"/>
      <c r="AK3" s="4"/>
    </row>
    <row r="4" spans="2:48" ht="48.75" customHeight="1" x14ac:dyDescent="0.45">
      <c r="B4" s="277" t="s">
        <v>77</v>
      </c>
      <c r="C4" s="277"/>
      <c r="D4" s="277"/>
      <c r="E4" s="277"/>
      <c r="F4" s="277"/>
      <c r="G4" s="277"/>
      <c r="H4" s="277"/>
      <c r="I4" s="277"/>
      <c r="J4" s="277"/>
      <c r="K4" s="277"/>
      <c r="L4" s="277"/>
      <c r="M4" s="277"/>
      <c r="N4" s="277"/>
      <c r="O4" s="277"/>
      <c r="P4" s="277"/>
      <c r="Q4" s="277"/>
      <c r="R4" s="277"/>
      <c r="S4" s="277"/>
      <c r="T4" s="277"/>
      <c r="U4" s="277"/>
      <c r="V4" s="277"/>
    </row>
    <row r="5" spans="2:48" ht="22.8" thickBot="1" x14ac:dyDescent="0.5">
      <c r="B5" s="11" t="s">
        <v>0</v>
      </c>
      <c r="Y5" s="13" t="s">
        <v>46</v>
      </c>
      <c r="Z5" s="5" t="s">
        <v>47</v>
      </c>
      <c r="AA5" s="19">
        <f>DATE(B1,1,1)</f>
        <v>43830</v>
      </c>
      <c r="AB5" s="14" t="s">
        <v>50</v>
      </c>
      <c r="AC5" s="19">
        <f>MIN(AP48:AP56)</f>
        <v>42128</v>
      </c>
      <c r="AD5" s="13"/>
      <c r="AE5" s="13"/>
      <c r="AF5" s="13"/>
      <c r="AG5" s="13"/>
      <c r="AH5" s="13"/>
      <c r="AI5" s="13"/>
      <c r="AJ5" s="13"/>
    </row>
    <row r="6" spans="2:48" ht="25.5" customHeight="1" thickBot="1" x14ac:dyDescent="0.5">
      <c r="B6" s="47"/>
      <c r="C6" s="278" t="s">
        <v>1</v>
      </c>
      <c r="D6" s="279"/>
      <c r="E6" s="280" t="s">
        <v>2</v>
      </c>
      <c r="F6" s="281"/>
      <c r="G6" s="280" t="s">
        <v>3</v>
      </c>
      <c r="H6" s="278"/>
      <c r="I6" s="279" t="s">
        <v>4</v>
      </c>
      <c r="J6" s="282"/>
      <c r="Z6" s="5" t="s">
        <v>48</v>
      </c>
      <c r="AA6" s="19">
        <f>DATE(B1,4,1)</f>
        <v>43921</v>
      </c>
      <c r="AB6" s="14" t="s">
        <v>51</v>
      </c>
      <c r="AC6" s="19">
        <f>MIN(AQ48:AQ56)</f>
        <v>43955</v>
      </c>
    </row>
    <row r="7" spans="2:48" ht="25.5" customHeight="1" x14ac:dyDescent="0.45">
      <c r="B7" s="48" t="s">
        <v>5</v>
      </c>
      <c r="C7" s="263">
        <v>7.0000000000000007E-2</v>
      </c>
      <c r="D7" s="264"/>
      <c r="E7" s="265">
        <v>24000</v>
      </c>
      <c r="F7" s="266"/>
      <c r="G7" s="265">
        <v>21200</v>
      </c>
      <c r="H7" s="267"/>
      <c r="I7" s="268">
        <v>650000</v>
      </c>
      <c r="J7" s="269"/>
      <c r="Z7" s="5" t="s">
        <v>49</v>
      </c>
      <c r="AA7" s="19">
        <f>DATE(B1+1,4,1)</f>
        <v>44286</v>
      </c>
      <c r="AB7" s="14" t="s">
        <v>52</v>
      </c>
      <c r="AC7" s="19">
        <f>MIN(AR48:AR56)</f>
        <v>45050</v>
      </c>
    </row>
    <row r="8" spans="2:48" ht="25.5" customHeight="1" x14ac:dyDescent="0.45">
      <c r="B8" s="49" t="s">
        <v>6</v>
      </c>
      <c r="C8" s="270">
        <v>2.8000000000000001E-2</v>
      </c>
      <c r="D8" s="271"/>
      <c r="E8" s="272">
        <v>9200</v>
      </c>
      <c r="F8" s="273"/>
      <c r="G8" s="272">
        <v>8400</v>
      </c>
      <c r="H8" s="274"/>
      <c r="I8" s="275">
        <v>240000</v>
      </c>
      <c r="J8" s="276"/>
      <c r="Z8" s="5"/>
      <c r="AA8" s="19"/>
      <c r="AB8" s="5" t="s">
        <v>54</v>
      </c>
      <c r="AC8" s="19">
        <f>DATE(YEAR(AA7)+5,MONTH(AA7),DAY(AA7))</f>
        <v>46112</v>
      </c>
    </row>
    <row r="9" spans="2:48" ht="25.5" customHeight="1" thickBot="1" x14ac:dyDescent="0.5">
      <c r="B9" s="50" t="s">
        <v>7</v>
      </c>
      <c r="C9" s="283">
        <v>2.1999999999999999E-2</v>
      </c>
      <c r="D9" s="284"/>
      <c r="E9" s="285">
        <v>8500</v>
      </c>
      <c r="F9" s="286"/>
      <c r="G9" s="285">
        <v>8000</v>
      </c>
      <c r="H9" s="287"/>
      <c r="I9" s="288">
        <v>170000</v>
      </c>
      <c r="J9" s="289"/>
      <c r="AB9" s="5" t="s">
        <v>53</v>
      </c>
      <c r="AC9" s="19">
        <f>DATE(YEAR(AC8)+3,MONTH(AC8),DAY(AC8))</f>
        <v>47208</v>
      </c>
    </row>
    <row r="10" spans="2:48" x14ac:dyDescent="0.45">
      <c r="B10" s="5"/>
      <c r="C10" s="6"/>
      <c r="D10" s="6"/>
      <c r="E10" s="7"/>
      <c r="F10" s="7"/>
      <c r="G10" s="7"/>
      <c r="H10" s="7"/>
      <c r="I10" s="7"/>
      <c r="J10" s="7"/>
      <c r="K10" s="7"/>
      <c r="L10" s="7"/>
      <c r="M10" s="7"/>
      <c r="N10" s="7"/>
      <c r="O10" s="7"/>
      <c r="P10" s="7"/>
      <c r="Q10" s="7"/>
    </row>
    <row r="11" spans="2:48" ht="22.8" thickBot="1" x14ac:dyDescent="0.5">
      <c r="B11" s="260" t="s">
        <v>91</v>
      </c>
      <c r="C11" s="260"/>
      <c r="D11" s="260"/>
      <c r="E11" s="260"/>
      <c r="F11" s="260"/>
      <c r="G11" s="260"/>
      <c r="H11" s="260"/>
      <c r="I11" s="260"/>
      <c r="J11" s="260"/>
      <c r="K11" s="260"/>
      <c r="L11" s="260"/>
      <c r="M11" s="260"/>
      <c r="N11" s="260"/>
      <c r="O11" s="260"/>
      <c r="P11" s="260"/>
      <c r="Q11" s="260"/>
      <c r="R11" s="260"/>
      <c r="S11" s="260"/>
      <c r="T11" s="260"/>
      <c r="U11" s="260"/>
      <c r="V11" s="260"/>
      <c r="Y11" s="18"/>
      <c r="Z11" s="18"/>
      <c r="AA11" s="18"/>
      <c r="AB11" s="18"/>
      <c r="AC11" s="18"/>
      <c r="AD11" s="18"/>
      <c r="AE11" s="18"/>
      <c r="AF11" s="18"/>
      <c r="AG11" s="18"/>
      <c r="AH11" s="18"/>
      <c r="AI11" s="25"/>
      <c r="AJ11" s="18"/>
    </row>
    <row r="12" spans="2:48" ht="16.8" hidden="1" thickBot="1" x14ac:dyDescent="0.5">
      <c r="G12" s="23">
        <f>EOMONTH($F$13,0)</f>
        <v>43950</v>
      </c>
      <c r="H12" s="24">
        <f>EOMONTH($F$13,1)</f>
        <v>43981</v>
      </c>
      <c r="I12" s="23">
        <f>EOMONTH($F$13,2)</f>
        <v>44011</v>
      </c>
      <c r="J12" s="23">
        <f>EOMONTH($F$13,3)</f>
        <v>44042</v>
      </c>
      <c r="K12" s="23">
        <f>EOMONTH($F$13,4)</f>
        <v>44073</v>
      </c>
      <c r="L12" s="23">
        <f>EOMONTH($F$13,5)</f>
        <v>44103</v>
      </c>
      <c r="M12" s="24">
        <f>EOMONTH($F$13,6)</f>
        <v>44134</v>
      </c>
      <c r="N12" s="23">
        <f>EOMONTH($F$13,7)</f>
        <v>44164</v>
      </c>
      <c r="O12" s="23">
        <f>EOMONTH($F$13,8)</f>
        <v>44195</v>
      </c>
      <c r="P12" s="23">
        <f>EOMONTH($F$13,9)</f>
        <v>44226</v>
      </c>
      <c r="Q12" s="24">
        <f>EOMONTH($F$13,10)</f>
        <v>44254</v>
      </c>
      <c r="R12" s="23">
        <f>EOMONTH($F$13,11)</f>
        <v>44285</v>
      </c>
      <c r="AI12" s="25"/>
      <c r="AJ12" s="18"/>
      <c r="AL12" s="5"/>
      <c r="AM12" s="5"/>
      <c r="AN12" s="5"/>
      <c r="AO12" s="5"/>
      <c r="AQ12" s="5"/>
      <c r="AR12" s="5"/>
      <c r="AS12" s="5"/>
      <c r="AT12" s="5"/>
      <c r="AV12" s="8"/>
    </row>
    <row r="13" spans="2:48" ht="37.200000000000003" thickTop="1" thickBot="1" x14ac:dyDescent="0.5">
      <c r="B13" s="91"/>
      <c r="C13" s="223" t="s">
        <v>57</v>
      </c>
      <c r="D13" s="224"/>
      <c r="E13" s="97" t="s">
        <v>88</v>
      </c>
      <c r="F13" s="98">
        <f>DATE(B1,4,1)</f>
        <v>43921</v>
      </c>
      <c r="G13" s="99" t="s">
        <v>61</v>
      </c>
      <c r="H13" s="99" t="s">
        <v>62</v>
      </c>
      <c r="I13" s="99" t="s">
        <v>63</v>
      </c>
      <c r="J13" s="99" t="s">
        <v>64</v>
      </c>
      <c r="K13" s="99" t="s">
        <v>65</v>
      </c>
      <c r="L13" s="99" t="s">
        <v>66</v>
      </c>
      <c r="M13" s="99" t="s">
        <v>67</v>
      </c>
      <c r="N13" s="99" t="s">
        <v>68</v>
      </c>
      <c r="O13" s="99" t="s">
        <v>69</v>
      </c>
      <c r="P13" s="99" t="s">
        <v>70</v>
      </c>
      <c r="Q13" s="99" t="s">
        <v>71</v>
      </c>
      <c r="R13" s="100" t="s">
        <v>72</v>
      </c>
      <c r="S13" s="96" t="s">
        <v>93</v>
      </c>
      <c r="T13" s="261" t="s">
        <v>75</v>
      </c>
      <c r="U13" s="262"/>
      <c r="V13" s="93" t="s">
        <v>87</v>
      </c>
      <c r="W13" s="68"/>
      <c r="X13" s="31"/>
    </row>
    <row r="14" spans="2:48" ht="29.25" customHeight="1" thickTop="1" x14ac:dyDescent="0.45">
      <c r="B14" s="252" t="s">
        <v>13</v>
      </c>
      <c r="C14" s="253" t="s">
        <v>103</v>
      </c>
      <c r="D14" s="254"/>
      <c r="E14" s="257">
        <v>20060</v>
      </c>
      <c r="F14" s="101" t="s">
        <v>107</v>
      </c>
      <c r="G14" s="101" t="s">
        <v>107</v>
      </c>
      <c r="H14" s="101" t="s">
        <v>107</v>
      </c>
      <c r="I14" s="101" t="s">
        <v>107</v>
      </c>
      <c r="J14" s="101" t="s">
        <v>107</v>
      </c>
      <c r="K14" s="101" t="s">
        <v>107</v>
      </c>
      <c r="L14" s="101" t="s">
        <v>107</v>
      </c>
      <c r="M14" s="101" t="s">
        <v>107</v>
      </c>
      <c r="N14" s="101" t="s">
        <v>107</v>
      </c>
      <c r="O14" s="101" t="s">
        <v>107</v>
      </c>
      <c r="P14" s="101" t="s">
        <v>107</v>
      </c>
      <c r="Q14" s="101" t="s">
        <v>107</v>
      </c>
      <c r="R14" s="102" t="s">
        <v>107</v>
      </c>
      <c r="S14" s="103"/>
      <c r="T14" s="258"/>
      <c r="U14" s="259"/>
      <c r="V14" s="104">
        <f>COUNTIF(G14:R14,"国保")+COUNTIF(G14:R14,"後期")+COUNTIF(G14:R14,"社保")</f>
        <v>12</v>
      </c>
      <c r="W14" s="69"/>
      <c r="X14" s="20"/>
    </row>
    <row r="15" spans="2:48" ht="29.25" customHeight="1" x14ac:dyDescent="0.45">
      <c r="B15" s="225"/>
      <c r="C15" s="255"/>
      <c r="D15" s="256"/>
      <c r="E15" s="230"/>
      <c r="F15" s="105"/>
      <c r="G15" s="112" t="str">
        <f>IF(G14="","",IF(AND(G$12&gt;=$AM$48,G$12&lt;$AN$48),"○",""))</f>
        <v/>
      </c>
      <c r="H15" s="112" t="str">
        <f>IF(H14="","",IF(AND(H$12&gt;=$AM$48,H$12&lt;$AN$48),"○",""))</f>
        <v/>
      </c>
      <c r="I15" s="112" t="str">
        <f t="shared" ref="I15:R15" si="0">IF(I14="","",IF(AND(I$12&gt;=$AM$48,I$12&lt;$AN$48),"○",""))</f>
        <v/>
      </c>
      <c r="J15" s="112" t="str">
        <f t="shared" si="0"/>
        <v/>
      </c>
      <c r="K15" s="112" t="str">
        <f t="shared" si="0"/>
        <v/>
      </c>
      <c r="L15" s="112" t="str">
        <f t="shared" si="0"/>
        <v/>
      </c>
      <c r="M15" s="112" t="str">
        <f t="shared" si="0"/>
        <v/>
      </c>
      <c r="N15" s="112" t="str">
        <f t="shared" si="0"/>
        <v/>
      </c>
      <c r="O15" s="112" t="str">
        <f t="shared" si="0"/>
        <v/>
      </c>
      <c r="P15" s="112" t="str">
        <f t="shared" si="0"/>
        <v/>
      </c>
      <c r="Q15" s="112" t="str">
        <f t="shared" si="0"/>
        <v/>
      </c>
      <c r="R15" s="112" t="str">
        <f t="shared" si="0"/>
        <v/>
      </c>
      <c r="S15" s="106"/>
      <c r="T15" s="107"/>
      <c r="U15" s="108"/>
      <c r="V15" s="109">
        <f>COUNTIF(G15:R15,"○")</f>
        <v>0</v>
      </c>
      <c r="W15" s="69"/>
      <c r="X15" s="20"/>
    </row>
    <row r="16" spans="2:48" ht="29.25" customHeight="1" x14ac:dyDescent="0.45">
      <c r="B16" s="225"/>
      <c r="C16" s="255"/>
      <c r="D16" s="256"/>
      <c r="E16" s="230"/>
      <c r="F16" s="110"/>
      <c r="G16" s="110" t="str">
        <f>IF(G14="","",IF(G14="国保","被保","特定"))</f>
        <v>被保</v>
      </c>
      <c r="H16" s="110" t="str">
        <f t="shared" ref="H16:R16" si="1">IF(H14="","",IF(H14="国保","被保","特定"))</f>
        <v>被保</v>
      </c>
      <c r="I16" s="110" t="str">
        <f t="shared" si="1"/>
        <v>被保</v>
      </c>
      <c r="J16" s="110" t="str">
        <f t="shared" si="1"/>
        <v>被保</v>
      </c>
      <c r="K16" s="110" t="str">
        <f t="shared" si="1"/>
        <v>被保</v>
      </c>
      <c r="L16" s="110" t="str">
        <f t="shared" si="1"/>
        <v>被保</v>
      </c>
      <c r="M16" s="110" t="str">
        <f t="shared" si="1"/>
        <v>被保</v>
      </c>
      <c r="N16" s="110" t="str">
        <f t="shared" si="1"/>
        <v>被保</v>
      </c>
      <c r="O16" s="110" t="str">
        <f t="shared" si="1"/>
        <v>被保</v>
      </c>
      <c r="P16" s="110" t="str">
        <f t="shared" si="1"/>
        <v>被保</v>
      </c>
      <c r="Q16" s="110" t="str">
        <f t="shared" si="1"/>
        <v>被保</v>
      </c>
      <c r="R16" s="110" t="str">
        <f t="shared" si="1"/>
        <v>被保</v>
      </c>
      <c r="S16" s="111">
        <f>COUNTIF(G16:R16,"普主")</f>
        <v>0</v>
      </c>
      <c r="T16" s="107"/>
      <c r="U16" s="108"/>
      <c r="V16" s="109" t="str">
        <f>IF(COUNTIF(G14:R14,"国保")&gt;=1,"被保険者","")</f>
        <v>被保険者</v>
      </c>
      <c r="W16" s="69"/>
      <c r="X16" s="20"/>
    </row>
    <row r="17" spans="2:24" ht="29.25" customHeight="1" x14ac:dyDescent="0.45">
      <c r="B17" s="225" t="s">
        <v>14</v>
      </c>
      <c r="C17" s="226" t="s">
        <v>104</v>
      </c>
      <c r="D17" s="227"/>
      <c r="E17" s="230">
        <v>22317</v>
      </c>
      <c r="F17" s="112" t="s">
        <v>107</v>
      </c>
      <c r="G17" s="112" t="s">
        <v>107</v>
      </c>
      <c r="H17" s="112" t="s">
        <v>107</v>
      </c>
      <c r="I17" s="112" t="s">
        <v>107</v>
      </c>
      <c r="J17" s="112" t="s">
        <v>107</v>
      </c>
      <c r="K17" s="112" t="s">
        <v>107</v>
      </c>
      <c r="L17" s="112" t="s">
        <v>107</v>
      </c>
      <c r="M17" s="112" t="s">
        <v>107</v>
      </c>
      <c r="N17" s="112" t="s">
        <v>107</v>
      </c>
      <c r="O17" s="112" t="s">
        <v>107</v>
      </c>
      <c r="P17" s="112" t="s">
        <v>107</v>
      </c>
      <c r="Q17" s="112" t="s">
        <v>107</v>
      </c>
      <c r="R17" s="113" t="s">
        <v>107</v>
      </c>
      <c r="S17" s="114"/>
      <c r="T17" s="249"/>
      <c r="U17" s="250"/>
      <c r="V17" s="115">
        <f>COUNTIF(G17:R17,"国保")+COUNTIF(G17:R17,"後期")</f>
        <v>12</v>
      </c>
      <c r="W17" s="69"/>
      <c r="X17" s="20"/>
    </row>
    <row r="18" spans="2:24" ht="29.25" customHeight="1" x14ac:dyDescent="0.45">
      <c r="B18" s="225"/>
      <c r="C18" s="226"/>
      <c r="D18" s="227"/>
      <c r="E18" s="230"/>
      <c r="F18" s="105"/>
      <c r="G18" s="112" t="str">
        <f>IF(G17="","",IF(AND(G$12&gt;=$AM$49,G$12&lt;$AN$49),"○",""))</f>
        <v>○</v>
      </c>
      <c r="H18" s="112" t="str">
        <f>IF(H17="","",IF(AND(H$12&gt;=$AM$49,H$12&lt;$AN$49),"○",""))</f>
        <v>○</v>
      </c>
      <c r="I18" s="112" t="str">
        <f t="shared" ref="I18:R18" si="2">IF(I17="","",IF(AND(I$12&gt;=$AM$49,I$12&lt;$AN$49),"○",""))</f>
        <v>○</v>
      </c>
      <c r="J18" s="112" t="str">
        <f t="shared" si="2"/>
        <v>○</v>
      </c>
      <c r="K18" s="112" t="str">
        <f t="shared" si="2"/>
        <v>○</v>
      </c>
      <c r="L18" s="112" t="str">
        <f t="shared" si="2"/>
        <v>○</v>
      </c>
      <c r="M18" s="112" t="str">
        <f t="shared" si="2"/>
        <v>○</v>
      </c>
      <c r="N18" s="112" t="str">
        <f t="shared" si="2"/>
        <v>○</v>
      </c>
      <c r="O18" s="112" t="str">
        <f t="shared" si="2"/>
        <v>○</v>
      </c>
      <c r="P18" s="112" t="str">
        <f t="shared" si="2"/>
        <v>○</v>
      </c>
      <c r="Q18" s="112" t="str">
        <f t="shared" si="2"/>
        <v>○</v>
      </c>
      <c r="R18" s="112" t="str">
        <f t="shared" si="2"/>
        <v>○</v>
      </c>
      <c r="S18" s="111"/>
      <c r="T18" s="107"/>
      <c r="U18" s="108"/>
      <c r="V18" s="115">
        <f>COUNTIF(G18:R18,"○")</f>
        <v>12</v>
      </c>
      <c r="W18" s="69"/>
      <c r="X18" s="20"/>
    </row>
    <row r="19" spans="2:24" ht="29.25" customHeight="1" x14ac:dyDescent="0.45">
      <c r="B19" s="225"/>
      <c r="C19" s="226"/>
      <c r="D19" s="227"/>
      <c r="E19" s="230"/>
      <c r="F19" s="110" t="str">
        <f>IF(F17="","",IF(F17="国保","被保","特定"))</f>
        <v>被保</v>
      </c>
      <c r="G19" s="110" t="str">
        <f>IF(G17="","",IF(G17="国保","被保","特定"))</f>
        <v>被保</v>
      </c>
      <c r="H19" s="110" t="str">
        <f t="shared" ref="H19:R19" si="3">IF(H17="","",IF(H17="国保","被保","特定"))</f>
        <v>被保</v>
      </c>
      <c r="I19" s="110" t="str">
        <f t="shared" si="3"/>
        <v>被保</v>
      </c>
      <c r="J19" s="110" t="str">
        <f t="shared" si="3"/>
        <v>被保</v>
      </c>
      <c r="K19" s="110" t="str">
        <f t="shared" si="3"/>
        <v>被保</v>
      </c>
      <c r="L19" s="110" t="str">
        <f t="shared" si="3"/>
        <v>被保</v>
      </c>
      <c r="M19" s="110" t="str">
        <f t="shared" si="3"/>
        <v>被保</v>
      </c>
      <c r="N19" s="110" t="str">
        <f t="shared" si="3"/>
        <v>被保</v>
      </c>
      <c r="O19" s="110" t="str">
        <f t="shared" si="3"/>
        <v>被保</v>
      </c>
      <c r="P19" s="110" t="str">
        <f t="shared" si="3"/>
        <v>被保</v>
      </c>
      <c r="Q19" s="110" t="str">
        <f t="shared" si="3"/>
        <v>被保</v>
      </c>
      <c r="R19" s="110" t="str">
        <f t="shared" si="3"/>
        <v>被保</v>
      </c>
      <c r="S19" s="111">
        <f>COUNTIF(G19:R19,"被保")</f>
        <v>12</v>
      </c>
      <c r="T19" s="107"/>
      <c r="U19" s="108"/>
      <c r="V19" s="115" t="str">
        <f>IF(COUNTIF(G17:R17,"国保")&gt;=1,"被保険者","")</f>
        <v>被保険者</v>
      </c>
      <c r="W19" s="69"/>
      <c r="X19" s="20"/>
    </row>
    <row r="20" spans="2:24" ht="29.25" customHeight="1" x14ac:dyDescent="0.45">
      <c r="B20" s="225" t="s">
        <v>15</v>
      </c>
      <c r="C20" s="226" t="s">
        <v>105</v>
      </c>
      <c r="D20" s="227"/>
      <c r="E20" s="230">
        <v>14736</v>
      </c>
      <c r="F20" s="112" t="s">
        <v>108</v>
      </c>
      <c r="G20" s="112" t="s">
        <v>108</v>
      </c>
      <c r="H20" s="112" t="s">
        <v>108</v>
      </c>
      <c r="I20" s="112" t="s">
        <v>108</v>
      </c>
      <c r="J20" s="112" t="s">
        <v>108</v>
      </c>
      <c r="K20" s="112" t="s">
        <v>108</v>
      </c>
      <c r="L20" s="112" t="s">
        <v>108</v>
      </c>
      <c r="M20" s="112" t="s">
        <v>108</v>
      </c>
      <c r="N20" s="112" t="s">
        <v>108</v>
      </c>
      <c r="O20" s="112" t="s">
        <v>108</v>
      </c>
      <c r="P20" s="112" t="s">
        <v>108</v>
      </c>
      <c r="Q20" s="112" t="s">
        <v>108</v>
      </c>
      <c r="R20" s="112" t="s">
        <v>108</v>
      </c>
      <c r="S20" s="114"/>
      <c r="T20" s="249"/>
      <c r="U20" s="250"/>
      <c r="V20" s="115">
        <f>COUNTIF(G20:R20,"国保")+COUNTIF(G20:R20,"後期")</f>
        <v>0</v>
      </c>
      <c r="W20" s="69"/>
      <c r="X20" s="20"/>
    </row>
    <row r="21" spans="2:24" ht="29.25" customHeight="1" x14ac:dyDescent="0.45">
      <c r="B21" s="225"/>
      <c r="C21" s="226"/>
      <c r="D21" s="227"/>
      <c r="E21" s="230"/>
      <c r="F21" s="105"/>
      <c r="G21" s="112" t="str">
        <f>IF(G20="","",IF(AND(G$12&gt;=$AM$50,G$12&lt;$AN$50),"○",""))</f>
        <v/>
      </c>
      <c r="H21" s="112" t="str">
        <f t="shared" ref="H21:R21" si="4">IF(H20="","",IF(AND(H$12&gt;=$AM$50,H$12&lt;$AN$50),"○",""))</f>
        <v/>
      </c>
      <c r="I21" s="112" t="str">
        <f t="shared" si="4"/>
        <v/>
      </c>
      <c r="J21" s="112" t="str">
        <f t="shared" si="4"/>
        <v/>
      </c>
      <c r="K21" s="112" t="str">
        <f>IF(K20="","",IF(AND(K$12&gt;=$AM$50,K$12&lt;$AN$50),"○",""))</f>
        <v/>
      </c>
      <c r="L21" s="112" t="str">
        <f t="shared" si="4"/>
        <v/>
      </c>
      <c r="M21" s="112" t="str">
        <f t="shared" si="4"/>
        <v/>
      </c>
      <c r="N21" s="112" t="str">
        <f t="shared" si="4"/>
        <v/>
      </c>
      <c r="O21" s="112" t="str">
        <f t="shared" si="4"/>
        <v/>
      </c>
      <c r="P21" s="112" t="str">
        <f t="shared" si="4"/>
        <v/>
      </c>
      <c r="Q21" s="112" t="str">
        <f t="shared" si="4"/>
        <v/>
      </c>
      <c r="R21" s="112" t="str">
        <f t="shared" si="4"/>
        <v/>
      </c>
      <c r="S21" s="111"/>
      <c r="T21" s="107"/>
      <c r="U21" s="108"/>
      <c r="V21" s="115">
        <f>COUNTIF(G21:R21,"○")</f>
        <v>0</v>
      </c>
      <c r="W21" s="69"/>
      <c r="X21" s="20"/>
    </row>
    <row r="22" spans="2:24" ht="29.25" customHeight="1" x14ac:dyDescent="0.45">
      <c r="B22" s="225"/>
      <c r="C22" s="226"/>
      <c r="D22" s="227"/>
      <c r="E22" s="230"/>
      <c r="F22" s="110" t="str">
        <f>IF(F20="","",IF(F20="国保","被保","特定"))</f>
        <v>特定</v>
      </c>
      <c r="G22" s="110" t="str">
        <f>IF(G20="","",IF(G20="国保","被保","特定"))</f>
        <v>特定</v>
      </c>
      <c r="H22" s="110" t="str">
        <f t="shared" ref="H22:R22" si="5">IF(H20="","",IF(H20="国保","被保","特定"))</f>
        <v>特定</v>
      </c>
      <c r="I22" s="110" t="str">
        <f t="shared" si="5"/>
        <v>特定</v>
      </c>
      <c r="J22" s="110" t="str">
        <f t="shared" si="5"/>
        <v>特定</v>
      </c>
      <c r="K22" s="110" t="str">
        <f t="shared" si="5"/>
        <v>特定</v>
      </c>
      <c r="L22" s="110" t="str">
        <f t="shared" si="5"/>
        <v>特定</v>
      </c>
      <c r="M22" s="110" t="str">
        <f t="shared" si="5"/>
        <v>特定</v>
      </c>
      <c r="N22" s="110" t="str">
        <f t="shared" si="5"/>
        <v>特定</v>
      </c>
      <c r="O22" s="110" t="str">
        <f t="shared" si="5"/>
        <v>特定</v>
      </c>
      <c r="P22" s="110" t="str">
        <f t="shared" si="5"/>
        <v>特定</v>
      </c>
      <c r="Q22" s="110" t="str">
        <f t="shared" si="5"/>
        <v>特定</v>
      </c>
      <c r="R22" s="110" t="str">
        <f t="shared" si="5"/>
        <v>特定</v>
      </c>
      <c r="S22" s="111">
        <f>COUNTIF(G22:R22,"被保")</f>
        <v>0</v>
      </c>
      <c r="T22" s="107"/>
      <c r="U22" s="108"/>
      <c r="V22" s="115" t="str">
        <f>IF(COUNTIF(G20:R20,"国保")&gt;=1,"被保険者","")</f>
        <v/>
      </c>
      <c r="W22" s="69"/>
      <c r="X22" s="20"/>
    </row>
    <row r="23" spans="2:24" ht="29.25" customHeight="1" x14ac:dyDescent="0.45">
      <c r="B23" s="225" t="s">
        <v>16</v>
      </c>
      <c r="C23" s="226" t="s">
        <v>106</v>
      </c>
      <c r="D23" s="227"/>
      <c r="E23" s="230">
        <v>41486</v>
      </c>
      <c r="F23" s="112"/>
      <c r="G23" s="112"/>
      <c r="H23" s="112"/>
      <c r="I23" s="112" t="s">
        <v>107</v>
      </c>
      <c r="J23" s="112" t="s">
        <v>107</v>
      </c>
      <c r="K23" s="112" t="s">
        <v>107</v>
      </c>
      <c r="L23" s="112" t="s">
        <v>107</v>
      </c>
      <c r="M23" s="112" t="s">
        <v>107</v>
      </c>
      <c r="N23" s="112" t="s">
        <v>107</v>
      </c>
      <c r="O23" s="112" t="s">
        <v>107</v>
      </c>
      <c r="P23" s="112" t="s">
        <v>107</v>
      </c>
      <c r="Q23" s="112" t="s">
        <v>107</v>
      </c>
      <c r="R23" s="113"/>
      <c r="S23" s="114" t="s">
        <v>109</v>
      </c>
      <c r="T23" s="249">
        <v>31</v>
      </c>
      <c r="U23" s="250"/>
      <c r="V23" s="115">
        <f>COUNTIF(G23:R23,"国保")+COUNTIF(G23:R23,"後期")</f>
        <v>9</v>
      </c>
      <c r="W23" s="69"/>
      <c r="X23" s="20"/>
    </row>
    <row r="24" spans="2:24" ht="29.25" customHeight="1" x14ac:dyDescent="0.45">
      <c r="B24" s="225"/>
      <c r="C24" s="226"/>
      <c r="D24" s="227"/>
      <c r="E24" s="230"/>
      <c r="F24" s="105"/>
      <c r="G24" s="112" t="str">
        <f>IF(G23="","",IF(AND(G$12&gt;=$AM$51,G$12&lt;$AN$51),"○",""))</f>
        <v/>
      </c>
      <c r="H24" s="112" t="str">
        <f t="shared" ref="H24:R24" si="6">IF(H23="","",IF(AND(H$12&gt;=$AM$51,H$12&lt;$AN$51),"○",""))</f>
        <v/>
      </c>
      <c r="I24" s="112" t="str">
        <f t="shared" si="6"/>
        <v/>
      </c>
      <c r="J24" s="112" t="str">
        <f t="shared" si="6"/>
        <v/>
      </c>
      <c r="K24" s="112" t="str">
        <f t="shared" si="6"/>
        <v/>
      </c>
      <c r="L24" s="112" t="str">
        <f t="shared" si="6"/>
        <v/>
      </c>
      <c r="M24" s="112" t="str">
        <f t="shared" si="6"/>
        <v/>
      </c>
      <c r="N24" s="112" t="str">
        <f t="shared" si="6"/>
        <v/>
      </c>
      <c r="O24" s="112" t="str">
        <f t="shared" si="6"/>
        <v/>
      </c>
      <c r="P24" s="112" t="str">
        <f t="shared" si="6"/>
        <v/>
      </c>
      <c r="Q24" s="112" t="str">
        <f t="shared" si="6"/>
        <v/>
      </c>
      <c r="R24" s="112" t="str">
        <f t="shared" si="6"/>
        <v/>
      </c>
      <c r="S24" s="111"/>
      <c r="T24" s="107"/>
      <c r="U24" s="108"/>
      <c r="V24" s="115">
        <f>COUNTIF(G24:R24,"○")</f>
        <v>0</v>
      </c>
      <c r="W24" s="69"/>
      <c r="X24" s="20"/>
    </row>
    <row r="25" spans="2:24" ht="29.25" customHeight="1" x14ac:dyDescent="0.45">
      <c r="B25" s="225"/>
      <c r="C25" s="226"/>
      <c r="D25" s="227"/>
      <c r="E25" s="230"/>
      <c r="F25" s="110" t="str">
        <f>IF(F23="","",IF(F23="国保","被保","特定"))</f>
        <v/>
      </c>
      <c r="G25" s="110" t="str">
        <f>IF(G23="","",IF(G23="国保","被保","特定"))</f>
        <v/>
      </c>
      <c r="H25" s="110" t="str">
        <f t="shared" ref="H25:R25" si="7">IF(H23="","",IF(H23="国保","被保","特定"))</f>
        <v/>
      </c>
      <c r="I25" s="110" t="str">
        <f t="shared" si="7"/>
        <v>被保</v>
      </c>
      <c r="J25" s="110" t="str">
        <f t="shared" si="7"/>
        <v>被保</v>
      </c>
      <c r="K25" s="110" t="str">
        <f t="shared" si="7"/>
        <v>被保</v>
      </c>
      <c r="L25" s="110" t="str">
        <f t="shared" si="7"/>
        <v>被保</v>
      </c>
      <c r="M25" s="110" t="str">
        <f t="shared" si="7"/>
        <v>被保</v>
      </c>
      <c r="N25" s="110" t="str">
        <f t="shared" si="7"/>
        <v>被保</v>
      </c>
      <c r="O25" s="110" t="str">
        <f t="shared" si="7"/>
        <v>被保</v>
      </c>
      <c r="P25" s="110" t="str">
        <f t="shared" si="7"/>
        <v>被保</v>
      </c>
      <c r="Q25" s="110" t="str">
        <f t="shared" si="7"/>
        <v>被保</v>
      </c>
      <c r="R25" s="110" t="str">
        <f t="shared" si="7"/>
        <v/>
      </c>
      <c r="S25" s="111">
        <f>COUNTIF(G25:R25,"被保")</f>
        <v>9</v>
      </c>
      <c r="T25" s="107"/>
      <c r="U25" s="108"/>
      <c r="V25" s="115" t="str">
        <f>IF(COUNTIF(G23:R23,"国保")&gt;=1,"被保険者","")</f>
        <v>被保険者</v>
      </c>
      <c r="W25" s="69"/>
      <c r="X25" s="20"/>
    </row>
    <row r="26" spans="2:24" ht="29.25" customHeight="1" x14ac:dyDescent="0.45">
      <c r="B26" s="225" t="s">
        <v>17</v>
      </c>
      <c r="C26" s="226"/>
      <c r="D26" s="227"/>
      <c r="E26" s="230"/>
      <c r="F26" s="112"/>
      <c r="G26" s="112"/>
      <c r="H26" s="112"/>
      <c r="I26" s="112"/>
      <c r="J26" s="112"/>
      <c r="K26" s="112"/>
      <c r="L26" s="112"/>
      <c r="M26" s="112"/>
      <c r="N26" s="112"/>
      <c r="O26" s="112"/>
      <c r="P26" s="112"/>
      <c r="Q26" s="112"/>
      <c r="R26" s="113"/>
      <c r="S26" s="114"/>
      <c r="T26" s="249"/>
      <c r="U26" s="250"/>
      <c r="V26" s="115">
        <f>COUNTIF(G26:R26,"国保")+COUNTIF(G26:R26,"後期")</f>
        <v>0</v>
      </c>
      <c r="W26" s="69"/>
      <c r="X26" s="20"/>
    </row>
    <row r="27" spans="2:24" ht="29.25" customHeight="1" x14ac:dyDescent="0.45">
      <c r="B27" s="225"/>
      <c r="C27" s="226"/>
      <c r="D27" s="227"/>
      <c r="E27" s="230"/>
      <c r="F27" s="82"/>
      <c r="G27" s="83" t="str">
        <f>IF(G26="","",IF(AND(G$12&gt;=$AM$52,G$12&lt;$AN$52),"○",""))</f>
        <v/>
      </c>
      <c r="H27" s="83" t="str">
        <f t="shared" ref="H27:R27" si="8">IF(H26="","",IF(AND(H$12&gt;=$AM$52,H$12&lt;$AN$52),"○",""))</f>
        <v/>
      </c>
      <c r="I27" s="83" t="str">
        <f t="shared" si="8"/>
        <v/>
      </c>
      <c r="J27" s="83" t="str">
        <f t="shared" si="8"/>
        <v/>
      </c>
      <c r="K27" s="83" t="str">
        <f t="shared" si="8"/>
        <v/>
      </c>
      <c r="L27" s="83" t="str">
        <f t="shared" si="8"/>
        <v/>
      </c>
      <c r="M27" s="83" t="str">
        <f t="shared" si="8"/>
        <v/>
      </c>
      <c r="N27" s="83" t="str">
        <f t="shared" si="8"/>
        <v/>
      </c>
      <c r="O27" s="83" t="str">
        <f t="shared" si="8"/>
        <v/>
      </c>
      <c r="P27" s="83" t="str">
        <f t="shared" si="8"/>
        <v/>
      </c>
      <c r="Q27" s="83" t="str">
        <f t="shared" si="8"/>
        <v/>
      </c>
      <c r="R27" s="83" t="str">
        <f t="shared" si="8"/>
        <v/>
      </c>
      <c r="S27" s="111"/>
      <c r="T27" s="107"/>
      <c r="U27" s="108"/>
      <c r="V27" s="115">
        <f>COUNTIF(G27:R27,"○")</f>
        <v>0</v>
      </c>
      <c r="W27" s="69"/>
      <c r="X27" s="20"/>
    </row>
    <row r="28" spans="2:24" ht="29.25" customHeight="1" x14ac:dyDescent="0.45">
      <c r="B28" s="225"/>
      <c r="C28" s="226"/>
      <c r="D28" s="227"/>
      <c r="E28" s="230"/>
      <c r="F28" s="87" t="str">
        <f>IF(F26="","",IF(F26="国保","被保","特定"))</f>
        <v/>
      </c>
      <c r="G28" s="87" t="str">
        <f>IF(G26="","",IF(G26="国保","被保","特定"))</f>
        <v/>
      </c>
      <c r="H28" s="87" t="str">
        <f t="shared" ref="H28:R28" si="9">IF(H26="","",IF(H26="国保","被保","特定"))</f>
        <v/>
      </c>
      <c r="I28" s="87" t="str">
        <f t="shared" si="9"/>
        <v/>
      </c>
      <c r="J28" s="87" t="str">
        <f t="shared" si="9"/>
        <v/>
      </c>
      <c r="K28" s="87" t="str">
        <f t="shared" si="9"/>
        <v/>
      </c>
      <c r="L28" s="87" t="str">
        <f t="shared" si="9"/>
        <v/>
      </c>
      <c r="M28" s="87" t="str">
        <f t="shared" si="9"/>
        <v/>
      </c>
      <c r="N28" s="87" t="str">
        <f t="shared" si="9"/>
        <v/>
      </c>
      <c r="O28" s="87" t="str">
        <f t="shared" si="9"/>
        <v/>
      </c>
      <c r="P28" s="87" t="str">
        <f t="shared" si="9"/>
        <v/>
      </c>
      <c r="Q28" s="87" t="str">
        <f t="shared" si="9"/>
        <v/>
      </c>
      <c r="R28" s="87" t="str">
        <f t="shared" si="9"/>
        <v/>
      </c>
      <c r="S28" s="111">
        <f>COUNTIF(G28:R28,"被保")</f>
        <v>0</v>
      </c>
      <c r="T28" s="107"/>
      <c r="U28" s="108"/>
      <c r="V28" s="115" t="str">
        <f>IF(COUNTIF(G26:R26,"国保")&gt;=1,"被保険者","")</f>
        <v/>
      </c>
      <c r="W28" s="69"/>
      <c r="X28" s="20"/>
    </row>
    <row r="29" spans="2:24" ht="29.25" hidden="1" customHeight="1" x14ac:dyDescent="0.45">
      <c r="B29" s="225" t="s">
        <v>18</v>
      </c>
      <c r="C29" s="226"/>
      <c r="D29" s="227"/>
      <c r="E29" s="230"/>
      <c r="F29" s="83"/>
      <c r="G29" s="83"/>
      <c r="H29" s="83"/>
      <c r="I29" s="83"/>
      <c r="J29" s="83"/>
      <c r="K29" s="83"/>
      <c r="L29" s="83"/>
      <c r="M29" s="83"/>
      <c r="N29" s="83"/>
      <c r="O29" s="83"/>
      <c r="P29" s="83"/>
      <c r="Q29" s="83"/>
      <c r="R29" s="83"/>
      <c r="S29" s="114"/>
      <c r="T29" s="249"/>
      <c r="U29" s="250"/>
      <c r="V29" s="115">
        <f>COUNTIF(G29:R29,"国保")+COUNTIF(G29:R29,"後期")</f>
        <v>0</v>
      </c>
      <c r="W29" s="69"/>
      <c r="X29" s="20"/>
    </row>
    <row r="30" spans="2:24" ht="29.25" hidden="1" customHeight="1" x14ac:dyDescent="0.45">
      <c r="B30" s="225"/>
      <c r="C30" s="226"/>
      <c r="D30" s="227"/>
      <c r="E30" s="230"/>
      <c r="F30" s="82"/>
      <c r="G30" s="83" t="str">
        <f>IF(G29="","",IF(AND(G12&gt;=$AM$53,G12&lt;$AN$53),"○",""))</f>
        <v/>
      </c>
      <c r="H30" s="83" t="str">
        <f t="shared" ref="H30:R30" si="10">IF(H29="","",IF(AND(H12&gt;=$AM$53,H12&lt;$AN$53),"○",""))</f>
        <v/>
      </c>
      <c r="I30" s="83" t="str">
        <f t="shared" si="10"/>
        <v/>
      </c>
      <c r="J30" s="83" t="str">
        <f t="shared" si="10"/>
        <v/>
      </c>
      <c r="K30" s="83" t="str">
        <f t="shared" si="10"/>
        <v/>
      </c>
      <c r="L30" s="83" t="str">
        <f t="shared" si="10"/>
        <v/>
      </c>
      <c r="M30" s="83" t="str">
        <f t="shared" si="10"/>
        <v/>
      </c>
      <c r="N30" s="83" t="str">
        <f t="shared" si="10"/>
        <v/>
      </c>
      <c r="O30" s="83" t="str">
        <f t="shared" si="10"/>
        <v/>
      </c>
      <c r="P30" s="83" t="str">
        <f t="shared" si="10"/>
        <v/>
      </c>
      <c r="Q30" s="83" t="str">
        <f t="shared" si="10"/>
        <v/>
      </c>
      <c r="R30" s="83" t="str">
        <f t="shared" si="10"/>
        <v/>
      </c>
      <c r="S30" s="111"/>
      <c r="T30" s="107"/>
      <c r="U30" s="108"/>
      <c r="V30" s="115">
        <f>COUNTIF(G30:R30,"○")</f>
        <v>0</v>
      </c>
      <c r="W30" s="69"/>
      <c r="X30" s="20"/>
    </row>
    <row r="31" spans="2:24" ht="29.25" hidden="1" customHeight="1" x14ac:dyDescent="0.45">
      <c r="B31" s="225"/>
      <c r="C31" s="226"/>
      <c r="D31" s="227"/>
      <c r="E31" s="230"/>
      <c r="F31" s="87" t="str">
        <f t="shared" ref="F31:R40" si="11">IF(F29="","",IF(F29="国保","被保","特定"))</f>
        <v/>
      </c>
      <c r="G31" s="87" t="str">
        <f t="shared" si="11"/>
        <v/>
      </c>
      <c r="H31" s="87" t="str">
        <f t="shared" si="11"/>
        <v/>
      </c>
      <c r="I31" s="87" t="str">
        <f t="shared" si="11"/>
        <v/>
      </c>
      <c r="J31" s="87" t="str">
        <f t="shared" si="11"/>
        <v/>
      </c>
      <c r="K31" s="87" t="str">
        <f t="shared" si="11"/>
        <v/>
      </c>
      <c r="L31" s="87" t="str">
        <f t="shared" si="11"/>
        <v/>
      </c>
      <c r="M31" s="87" t="str">
        <f t="shared" si="11"/>
        <v/>
      </c>
      <c r="N31" s="87" t="str">
        <f t="shared" si="11"/>
        <v/>
      </c>
      <c r="O31" s="87" t="str">
        <f t="shared" si="11"/>
        <v/>
      </c>
      <c r="P31" s="87" t="str">
        <f t="shared" si="11"/>
        <v/>
      </c>
      <c r="Q31" s="87" t="str">
        <f t="shared" si="11"/>
        <v/>
      </c>
      <c r="R31" s="87" t="str">
        <f t="shared" si="11"/>
        <v/>
      </c>
      <c r="S31" s="111">
        <f>COUNTIF(G31:R31,"被保")</f>
        <v>0</v>
      </c>
      <c r="T31" s="107"/>
      <c r="U31" s="108"/>
      <c r="V31" s="115" t="str">
        <f>IF(COUNTIF(G29:R29,"国保")&gt;=1,"被保険者","")</f>
        <v/>
      </c>
      <c r="W31" s="69"/>
      <c r="X31" s="20"/>
    </row>
    <row r="32" spans="2:24" ht="29.25" hidden="1" customHeight="1" x14ac:dyDescent="0.45">
      <c r="B32" s="225" t="s">
        <v>19</v>
      </c>
      <c r="C32" s="226"/>
      <c r="D32" s="227"/>
      <c r="E32" s="230"/>
      <c r="F32" s="83"/>
      <c r="G32" s="83"/>
      <c r="H32" s="83"/>
      <c r="I32" s="83"/>
      <c r="J32" s="83"/>
      <c r="K32" s="83"/>
      <c r="L32" s="83"/>
      <c r="M32" s="83"/>
      <c r="N32" s="83"/>
      <c r="O32" s="83"/>
      <c r="P32" s="83"/>
      <c r="Q32" s="83"/>
      <c r="R32" s="83"/>
      <c r="S32" s="114"/>
      <c r="T32" s="249"/>
      <c r="U32" s="250"/>
      <c r="V32" s="115">
        <f>COUNTIF(G32:R32,"国保")+COUNTIF(G32:R32,"後期")</f>
        <v>0</v>
      </c>
      <c r="W32" s="69"/>
      <c r="X32" s="20"/>
    </row>
    <row r="33" spans="1:58" ht="29.25" hidden="1" customHeight="1" x14ac:dyDescent="0.45">
      <c r="B33" s="225"/>
      <c r="C33" s="226"/>
      <c r="D33" s="227"/>
      <c r="E33" s="230"/>
      <c r="F33" s="82"/>
      <c r="G33" s="83" t="str">
        <f>IF(G32="","",IF(AND(G12&gt;=$AM$54,G12&lt;$AN$54),"○",""))</f>
        <v/>
      </c>
      <c r="H33" s="83" t="str">
        <f t="shared" ref="H33:R33" si="12">IF(H32="","",IF(AND(H12&gt;=$AM$54,H12&lt;$AN$54),"○",""))</f>
        <v/>
      </c>
      <c r="I33" s="83" t="str">
        <f t="shared" si="12"/>
        <v/>
      </c>
      <c r="J33" s="83" t="str">
        <f t="shared" si="12"/>
        <v/>
      </c>
      <c r="K33" s="83" t="str">
        <f t="shared" si="12"/>
        <v/>
      </c>
      <c r="L33" s="83" t="str">
        <f t="shared" si="12"/>
        <v/>
      </c>
      <c r="M33" s="83" t="str">
        <f t="shared" si="12"/>
        <v/>
      </c>
      <c r="N33" s="83" t="str">
        <f t="shared" si="12"/>
        <v/>
      </c>
      <c r="O33" s="83" t="str">
        <f t="shared" si="12"/>
        <v/>
      </c>
      <c r="P33" s="83" t="str">
        <f t="shared" si="12"/>
        <v/>
      </c>
      <c r="Q33" s="83" t="str">
        <f t="shared" si="12"/>
        <v/>
      </c>
      <c r="R33" s="83" t="str">
        <f t="shared" si="12"/>
        <v/>
      </c>
      <c r="S33" s="111"/>
      <c r="T33" s="107"/>
      <c r="U33" s="108"/>
      <c r="V33" s="115">
        <f>COUNTIF(G33:R33,"○")</f>
        <v>0</v>
      </c>
      <c r="W33" s="69"/>
      <c r="X33" s="20"/>
    </row>
    <row r="34" spans="1:58" ht="29.25" hidden="1" customHeight="1" x14ac:dyDescent="0.45">
      <c r="B34" s="225"/>
      <c r="C34" s="226"/>
      <c r="D34" s="227"/>
      <c r="E34" s="230"/>
      <c r="F34" s="87" t="str">
        <f t="shared" si="11"/>
        <v/>
      </c>
      <c r="G34" s="87" t="str">
        <f t="shared" si="11"/>
        <v/>
      </c>
      <c r="H34" s="87" t="str">
        <f t="shared" si="11"/>
        <v/>
      </c>
      <c r="I34" s="87" t="str">
        <f t="shared" si="11"/>
        <v/>
      </c>
      <c r="J34" s="87" t="str">
        <f t="shared" si="11"/>
        <v/>
      </c>
      <c r="K34" s="87" t="str">
        <f t="shared" si="11"/>
        <v/>
      </c>
      <c r="L34" s="87" t="str">
        <f t="shared" si="11"/>
        <v/>
      </c>
      <c r="M34" s="87" t="str">
        <f t="shared" si="11"/>
        <v/>
      </c>
      <c r="N34" s="87" t="str">
        <f t="shared" si="11"/>
        <v/>
      </c>
      <c r="O34" s="87" t="str">
        <f t="shared" si="11"/>
        <v/>
      </c>
      <c r="P34" s="87" t="str">
        <f t="shared" si="11"/>
        <v/>
      </c>
      <c r="Q34" s="87" t="str">
        <f t="shared" si="11"/>
        <v/>
      </c>
      <c r="R34" s="87" t="str">
        <f t="shared" si="11"/>
        <v/>
      </c>
      <c r="S34" s="111">
        <f>COUNTIF(G34:R34,"被保")</f>
        <v>0</v>
      </c>
      <c r="T34" s="107"/>
      <c r="U34" s="108"/>
      <c r="V34" s="115" t="str">
        <f>IF(COUNTIF(G32:R32,"国保")&gt;=1,"被保険者","")</f>
        <v/>
      </c>
      <c r="W34" s="69"/>
      <c r="X34" s="20"/>
    </row>
    <row r="35" spans="1:58" ht="29.25" hidden="1" customHeight="1" x14ac:dyDescent="0.45">
      <c r="B35" s="225" t="s">
        <v>20</v>
      </c>
      <c r="C35" s="226"/>
      <c r="D35" s="227"/>
      <c r="E35" s="230"/>
      <c r="F35" s="83"/>
      <c r="G35" s="83"/>
      <c r="H35" s="83"/>
      <c r="I35" s="83"/>
      <c r="J35" s="83"/>
      <c r="K35" s="83"/>
      <c r="L35" s="83"/>
      <c r="M35" s="83"/>
      <c r="N35" s="83"/>
      <c r="O35" s="83"/>
      <c r="P35" s="83"/>
      <c r="Q35" s="83"/>
      <c r="R35" s="83"/>
      <c r="S35" s="114"/>
      <c r="T35" s="249"/>
      <c r="U35" s="250"/>
      <c r="V35" s="115">
        <f>COUNTIF(G35:R35,"国保")+COUNTIF(G35:R35,"後期")</f>
        <v>0</v>
      </c>
      <c r="W35" s="69"/>
      <c r="X35" s="20"/>
    </row>
    <row r="36" spans="1:58" ht="30" hidden="1" customHeight="1" x14ac:dyDescent="0.45">
      <c r="B36" s="225"/>
      <c r="C36" s="226"/>
      <c r="D36" s="227"/>
      <c r="E36" s="230"/>
      <c r="F36" s="82"/>
      <c r="G36" s="83" t="str">
        <f>IF(G35="","",IF(AND(G12&gt;=$AM$55,G12&lt;$AN$55),"○",""))</f>
        <v/>
      </c>
      <c r="H36" s="83" t="str">
        <f t="shared" ref="H36:R36" si="13">IF(H35="","",IF(AND(H12&gt;=$AM$55,H12&lt;$AN$55),"○",""))</f>
        <v/>
      </c>
      <c r="I36" s="83" t="str">
        <f t="shared" si="13"/>
        <v/>
      </c>
      <c r="J36" s="83" t="str">
        <f t="shared" si="13"/>
        <v/>
      </c>
      <c r="K36" s="83" t="str">
        <f t="shared" si="13"/>
        <v/>
      </c>
      <c r="L36" s="83" t="str">
        <f t="shared" si="13"/>
        <v/>
      </c>
      <c r="M36" s="83" t="str">
        <f t="shared" si="13"/>
        <v/>
      </c>
      <c r="N36" s="83" t="str">
        <f t="shared" si="13"/>
        <v/>
      </c>
      <c r="O36" s="83" t="str">
        <f t="shared" si="13"/>
        <v/>
      </c>
      <c r="P36" s="83" t="str">
        <f t="shared" si="13"/>
        <v/>
      </c>
      <c r="Q36" s="83" t="str">
        <f t="shared" si="13"/>
        <v/>
      </c>
      <c r="R36" s="83" t="str">
        <f t="shared" si="13"/>
        <v/>
      </c>
      <c r="S36" s="116"/>
      <c r="T36" s="107"/>
      <c r="U36" s="108"/>
      <c r="V36" s="115">
        <f>COUNTIF(G36:R36,"○")</f>
        <v>0</v>
      </c>
      <c r="W36" s="69"/>
      <c r="X36" s="20"/>
    </row>
    <row r="37" spans="1:58" ht="30" hidden="1" customHeight="1" x14ac:dyDescent="0.45">
      <c r="B37" s="251"/>
      <c r="C37" s="226"/>
      <c r="D37" s="227"/>
      <c r="E37" s="230"/>
      <c r="F37" s="87" t="str">
        <f t="shared" si="11"/>
        <v/>
      </c>
      <c r="G37" s="87" t="str">
        <f t="shared" si="11"/>
        <v/>
      </c>
      <c r="H37" s="87" t="str">
        <f t="shared" si="11"/>
        <v/>
      </c>
      <c r="I37" s="87" t="str">
        <f t="shared" si="11"/>
        <v/>
      </c>
      <c r="J37" s="87" t="str">
        <f t="shared" si="11"/>
        <v/>
      </c>
      <c r="K37" s="87" t="str">
        <f t="shared" si="11"/>
        <v/>
      </c>
      <c r="L37" s="87" t="str">
        <f t="shared" si="11"/>
        <v/>
      </c>
      <c r="M37" s="87" t="str">
        <f t="shared" si="11"/>
        <v/>
      </c>
      <c r="N37" s="87" t="str">
        <f t="shared" si="11"/>
        <v/>
      </c>
      <c r="O37" s="87" t="str">
        <f t="shared" si="11"/>
        <v/>
      </c>
      <c r="P37" s="87" t="str">
        <f t="shared" si="11"/>
        <v/>
      </c>
      <c r="Q37" s="87" t="str">
        <f t="shared" si="11"/>
        <v/>
      </c>
      <c r="R37" s="87" t="str">
        <f t="shared" si="11"/>
        <v/>
      </c>
      <c r="S37" s="111">
        <f>COUNTIF(G37:R37,"被保")</f>
        <v>0</v>
      </c>
      <c r="T37" s="107"/>
      <c r="U37" s="108"/>
      <c r="V37" s="115" t="str">
        <f>IF(COUNTIF(G35:R35,"国保")&gt;=1,"被保険者","")</f>
        <v/>
      </c>
      <c r="W37" s="69"/>
      <c r="X37" s="20"/>
    </row>
    <row r="38" spans="1:58" ht="30" hidden="1" customHeight="1" thickBot="1" x14ac:dyDescent="0.5">
      <c r="B38" s="225" t="s">
        <v>21</v>
      </c>
      <c r="C38" s="226"/>
      <c r="D38" s="227"/>
      <c r="E38" s="230"/>
      <c r="F38" s="83"/>
      <c r="G38" s="83"/>
      <c r="H38" s="83"/>
      <c r="I38" s="83"/>
      <c r="J38" s="83"/>
      <c r="K38" s="83"/>
      <c r="L38" s="83"/>
      <c r="M38" s="83"/>
      <c r="N38" s="83"/>
      <c r="O38" s="83"/>
      <c r="P38" s="83"/>
      <c r="Q38" s="83"/>
      <c r="R38" s="83"/>
      <c r="S38" s="117"/>
      <c r="T38" s="232"/>
      <c r="U38" s="233"/>
      <c r="V38" s="104">
        <f>COUNTIF(G38:R38,"国保")+COUNTIF(G38:R38,"後期")</f>
        <v>0</v>
      </c>
      <c r="W38" s="69"/>
      <c r="X38" s="20"/>
    </row>
    <row r="39" spans="1:58" ht="30" hidden="1" customHeight="1" thickTop="1" x14ac:dyDescent="0.45">
      <c r="B39" s="225"/>
      <c r="C39" s="226"/>
      <c r="D39" s="227"/>
      <c r="E39" s="230"/>
      <c r="F39" s="82"/>
      <c r="G39" s="83" t="str">
        <f>IF(G38="","",IF(AND(G12&gt;=$AM$56,G12&lt;$AN$56),"○",""))</f>
        <v/>
      </c>
      <c r="H39" s="83" t="str">
        <f t="shared" ref="H39:R39" si="14">IF(H38="","",IF(AND(H36&gt;=$AM$48,H36&lt;$AN$48),"○",""))</f>
        <v/>
      </c>
      <c r="I39" s="83" t="str">
        <f t="shared" si="14"/>
        <v/>
      </c>
      <c r="J39" s="83" t="str">
        <f t="shared" si="14"/>
        <v/>
      </c>
      <c r="K39" s="83" t="str">
        <f t="shared" si="14"/>
        <v/>
      </c>
      <c r="L39" s="83" t="str">
        <f t="shared" si="14"/>
        <v/>
      </c>
      <c r="M39" s="83" t="str">
        <f t="shared" si="14"/>
        <v/>
      </c>
      <c r="N39" s="83" t="str">
        <f t="shared" si="14"/>
        <v/>
      </c>
      <c r="O39" s="83" t="str">
        <f t="shared" si="14"/>
        <v/>
      </c>
      <c r="P39" s="83" t="str">
        <f t="shared" si="14"/>
        <v/>
      </c>
      <c r="Q39" s="83" t="str">
        <f t="shared" si="14"/>
        <v/>
      </c>
      <c r="R39" s="83" t="str">
        <f t="shared" si="14"/>
        <v/>
      </c>
      <c r="S39" s="118">
        <f>COUNTIF(G39:R39,"○")</f>
        <v>0</v>
      </c>
      <c r="T39" s="119"/>
      <c r="U39" s="120"/>
      <c r="V39" s="121"/>
      <c r="W39" s="69"/>
      <c r="X39" s="20"/>
    </row>
    <row r="40" spans="1:58" ht="30" hidden="1" customHeight="1" thickBot="1" x14ac:dyDescent="0.5">
      <c r="B40" s="225"/>
      <c r="C40" s="228"/>
      <c r="D40" s="229"/>
      <c r="E40" s="231"/>
      <c r="F40" s="87" t="str">
        <f t="shared" si="11"/>
        <v/>
      </c>
      <c r="G40" s="87" t="str">
        <f t="shared" si="11"/>
        <v/>
      </c>
      <c r="H40" s="87" t="str">
        <f t="shared" si="11"/>
        <v/>
      </c>
      <c r="I40" s="87" t="str">
        <f t="shared" si="11"/>
        <v/>
      </c>
      <c r="J40" s="87" t="str">
        <f t="shared" si="11"/>
        <v/>
      </c>
      <c r="K40" s="87" t="str">
        <f t="shared" si="11"/>
        <v/>
      </c>
      <c r="L40" s="87" t="str">
        <f t="shared" si="11"/>
        <v/>
      </c>
      <c r="M40" s="87" t="str">
        <f t="shared" si="11"/>
        <v/>
      </c>
      <c r="N40" s="87" t="str">
        <f t="shared" si="11"/>
        <v/>
      </c>
      <c r="O40" s="87" t="str">
        <f t="shared" si="11"/>
        <v/>
      </c>
      <c r="P40" s="87" t="str">
        <f t="shared" si="11"/>
        <v/>
      </c>
      <c r="Q40" s="87" t="str">
        <f t="shared" si="11"/>
        <v/>
      </c>
      <c r="R40" s="87" t="str">
        <f t="shared" si="11"/>
        <v/>
      </c>
      <c r="S40" s="122" t="str">
        <f>IF(COUNTIF(G38:R38,"国保")&gt;=1,"被保険者","")</f>
        <v/>
      </c>
      <c r="T40" s="123">
        <f>COUNTIF(G40:R40,"被保")</f>
        <v>0</v>
      </c>
      <c r="U40" s="121"/>
      <c r="V40" s="121"/>
      <c r="W40" s="69"/>
      <c r="X40" s="20"/>
    </row>
    <row r="41" spans="1:58" ht="30" customHeight="1" x14ac:dyDescent="0.45">
      <c r="A41" s="73"/>
      <c r="B41" s="75"/>
      <c r="C41" s="234" t="s">
        <v>92</v>
      </c>
      <c r="D41" s="235"/>
      <c r="E41" s="236"/>
      <c r="F41" s="92">
        <f t="shared" ref="F41:R41" si="15">COUNTIF(F14:F40,"普主")+COUNTIF(F14:F40,"特擬")+COUNTIF(F14:F40,"被保")+COUNTIF(F14:F40,"特定")</f>
        <v>2</v>
      </c>
      <c r="G41" s="92">
        <f t="shared" si="15"/>
        <v>3</v>
      </c>
      <c r="H41" s="92">
        <f t="shared" si="15"/>
        <v>3</v>
      </c>
      <c r="I41" s="92">
        <f t="shared" si="15"/>
        <v>4</v>
      </c>
      <c r="J41" s="92">
        <f t="shared" si="15"/>
        <v>4</v>
      </c>
      <c r="K41" s="92">
        <f t="shared" si="15"/>
        <v>4</v>
      </c>
      <c r="L41" s="92">
        <f t="shared" si="15"/>
        <v>4</v>
      </c>
      <c r="M41" s="92">
        <f t="shared" si="15"/>
        <v>4</v>
      </c>
      <c r="N41" s="92">
        <f t="shared" si="15"/>
        <v>4</v>
      </c>
      <c r="O41" s="92">
        <f t="shared" si="15"/>
        <v>4</v>
      </c>
      <c r="P41" s="92">
        <f t="shared" si="15"/>
        <v>4</v>
      </c>
      <c r="Q41" s="92">
        <f t="shared" si="15"/>
        <v>4</v>
      </c>
      <c r="R41" s="92">
        <f t="shared" si="15"/>
        <v>3</v>
      </c>
      <c r="S41" s="92"/>
      <c r="T41" s="54"/>
      <c r="U41" s="237"/>
      <c r="V41" s="238"/>
      <c r="W41" s="69"/>
      <c r="X41" s="20"/>
    </row>
    <row r="42" spans="1:58" ht="30" customHeight="1" x14ac:dyDescent="0.45">
      <c r="A42" s="73"/>
      <c r="B42" s="21"/>
      <c r="C42" s="243" t="s">
        <v>73</v>
      </c>
      <c r="D42" s="244"/>
      <c r="E42" s="245"/>
      <c r="F42" s="74"/>
      <c r="G42" s="34" t="str">
        <f t="shared" ref="G42:R42" si="16">IF(COUNTIF(G14:G40,"国保")&gt;=1,"○","")</f>
        <v>○</v>
      </c>
      <c r="H42" s="34" t="str">
        <f t="shared" si="16"/>
        <v>○</v>
      </c>
      <c r="I42" s="34" t="str">
        <f t="shared" si="16"/>
        <v>○</v>
      </c>
      <c r="J42" s="34" t="str">
        <f t="shared" si="16"/>
        <v>○</v>
      </c>
      <c r="K42" s="34" t="str">
        <f t="shared" si="16"/>
        <v>○</v>
      </c>
      <c r="L42" s="34" t="str">
        <f t="shared" si="16"/>
        <v>○</v>
      </c>
      <c r="M42" s="34" t="str">
        <f t="shared" si="16"/>
        <v>○</v>
      </c>
      <c r="N42" s="34" t="str">
        <f t="shared" si="16"/>
        <v>○</v>
      </c>
      <c r="O42" s="34" t="str">
        <f t="shared" si="16"/>
        <v>○</v>
      </c>
      <c r="P42" s="34" t="str">
        <f t="shared" si="16"/>
        <v>○</v>
      </c>
      <c r="Q42" s="34" t="str">
        <f t="shared" si="16"/>
        <v>○</v>
      </c>
      <c r="R42" s="34" t="str">
        <f t="shared" si="16"/>
        <v>○</v>
      </c>
      <c r="S42" s="26">
        <f>COUNTIF(G42:R42,"○")</f>
        <v>12</v>
      </c>
      <c r="T42" s="26"/>
      <c r="U42" s="239"/>
      <c r="V42" s="240"/>
      <c r="W42" s="71"/>
      <c r="AI42" s="1"/>
      <c r="AJ42" s="16"/>
      <c r="AK42" s="16"/>
      <c r="AL42" s="16"/>
      <c r="AM42" s="16"/>
      <c r="AN42" s="16"/>
      <c r="AO42" s="15"/>
      <c r="AP42" s="16"/>
      <c r="AQ42" s="16"/>
      <c r="AR42" s="16"/>
      <c r="AS42" s="16"/>
      <c r="AT42" s="16"/>
      <c r="AU42" s="16"/>
      <c r="AV42" s="16"/>
      <c r="AW42" s="17"/>
      <c r="AX42" s="5"/>
      <c r="AY42" s="8"/>
      <c r="AZ42" s="8"/>
      <c r="BA42" s="5"/>
      <c r="BB42" s="8"/>
      <c r="BC42" s="8"/>
      <c r="BD42" s="8"/>
      <c r="BE42" s="5"/>
      <c r="BF42" s="5"/>
    </row>
    <row r="43" spans="1:58" ht="30" customHeight="1" x14ac:dyDescent="0.45">
      <c r="A43" s="73"/>
      <c r="B43" s="21"/>
      <c r="C43" s="243" t="s">
        <v>74</v>
      </c>
      <c r="D43" s="244"/>
      <c r="E43" s="245"/>
      <c r="F43" s="74"/>
      <c r="G43" s="34" t="str">
        <f t="shared" ref="G43:R43" si="17">IF(COUNTIF(G14:G40,"○")&gt;=1,"○","")</f>
        <v>○</v>
      </c>
      <c r="H43" s="34" t="str">
        <f t="shared" si="17"/>
        <v>○</v>
      </c>
      <c r="I43" s="34" t="str">
        <f t="shared" si="17"/>
        <v>○</v>
      </c>
      <c r="J43" s="34" t="str">
        <f t="shared" si="17"/>
        <v>○</v>
      </c>
      <c r="K43" s="34" t="str">
        <f t="shared" si="17"/>
        <v>○</v>
      </c>
      <c r="L43" s="34" t="str">
        <f t="shared" si="17"/>
        <v>○</v>
      </c>
      <c r="M43" s="34" t="str">
        <f t="shared" si="17"/>
        <v>○</v>
      </c>
      <c r="N43" s="34" t="str">
        <f t="shared" si="17"/>
        <v>○</v>
      </c>
      <c r="O43" s="34" t="str">
        <f t="shared" si="17"/>
        <v>○</v>
      </c>
      <c r="P43" s="34" t="str">
        <f t="shared" si="17"/>
        <v>○</v>
      </c>
      <c r="Q43" s="34" t="str">
        <f t="shared" si="17"/>
        <v>○</v>
      </c>
      <c r="R43" s="34" t="str">
        <f t="shared" si="17"/>
        <v>○</v>
      </c>
      <c r="S43" s="26">
        <f>COUNTIF(G43:R43,"○")</f>
        <v>12</v>
      </c>
      <c r="T43" s="26"/>
      <c r="U43" s="239"/>
      <c r="V43" s="240"/>
      <c r="W43" s="71"/>
      <c r="AI43" s="1"/>
      <c r="AJ43" s="16"/>
      <c r="AK43" s="16"/>
      <c r="AL43" s="16"/>
      <c r="AM43" s="16"/>
      <c r="AN43" s="16"/>
      <c r="AO43" s="15"/>
      <c r="AP43" s="16"/>
      <c r="AQ43" s="16"/>
      <c r="AR43" s="16"/>
      <c r="AS43" s="16"/>
      <c r="AT43" s="16"/>
      <c r="AU43" s="16"/>
      <c r="AV43" s="16"/>
      <c r="AW43" s="17"/>
      <c r="AX43" s="5"/>
      <c r="AY43" s="8"/>
      <c r="AZ43" s="8"/>
      <c r="BA43" s="5"/>
      <c r="BB43" s="8"/>
      <c r="BC43" s="8"/>
      <c r="BD43" s="8"/>
      <c r="BE43" s="5"/>
      <c r="BF43" s="5"/>
    </row>
    <row r="44" spans="1:58" ht="30" customHeight="1" thickBot="1" x14ac:dyDescent="0.5">
      <c r="A44" s="73"/>
      <c r="B44" s="22"/>
      <c r="C44" s="246" t="s">
        <v>58</v>
      </c>
      <c r="D44" s="247"/>
      <c r="E44" s="248"/>
      <c r="F44" s="38" t="str">
        <f>IF(AND(COUNTIF(F14:F40,"（特）後期")&gt;=1,COUNTIF(F14:F40,"国保")=1,F13&gt;=$AC$5,F13&lt;$AC$6),"特定",IF(AND(COUNTIF(F14:F40,"（特）後期")&gt;=1,COUNTIF(F14:F40,"国保")=1,F13&gt;=$AC$6,F13&lt;$AC$7),"特継",""))</f>
        <v/>
      </c>
      <c r="G44" s="38" t="str">
        <f t="shared" ref="G44:R44" si="18">IF(F44="","",IF(AND(COUNTIF(G14:G40,"（特）後期")&gt;=1,COUNTIF(G14:G40,"国保")=1,G12&gt;=$AC$5,G12&lt;$AC$6),"特定",IF(AND(COUNTIF(G14:G40,"（特）後期")&gt;=1,COUNTIF(G14:G40,"国保")=1,G12&gt;=$AC$6,G12&lt;$AC$7),"特継","")))</f>
        <v/>
      </c>
      <c r="H44" s="38" t="str">
        <f t="shared" si="18"/>
        <v/>
      </c>
      <c r="I44" s="38" t="str">
        <f t="shared" si="18"/>
        <v/>
      </c>
      <c r="J44" s="38" t="str">
        <f t="shared" si="18"/>
        <v/>
      </c>
      <c r="K44" s="38" t="str">
        <f t="shared" si="18"/>
        <v/>
      </c>
      <c r="L44" s="38" t="str">
        <f t="shared" si="18"/>
        <v/>
      </c>
      <c r="M44" s="38" t="str">
        <f t="shared" si="18"/>
        <v/>
      </c>
      <c r="N44" s="38" t="str">
        <f t="shared" si="18"/>
        <v/>
      </c>
      <c r="O44" s="38" t="str">
        <f t="shared" si="18"/>
        <v/>
      </c>
      <c r="P44" s="38" t="str">
        <f t="shared" si="18"/>
        <v/>
      </c>
      <c r="Q44" s="38" t="str">
        <f t="shared" si="18"/>
        <v/>
      </c>
      <c r="R44" s="38" t="str">
        <f t="shared" si="18"/>
        <v/>
      </c>
      <c r="S44" s="38" t="str">
        <f>IF(R44="","",IF(AND(COUNTIF(Q14:Q40,"後期")&gt;=1,COUNTIF(Q14:Q40,"国保")=1,Q12&gt;=$AC$5,Q12&lt;$AC$6),"特定",IF(AND(COUNTIF(Q14:Q40,"後期")&gt;=1,COUNTIF(Q14:Q40,"国保")=1,Q12&gt;=$AC$6,Q12&lt;$AC$7),"特継","")))</f>
        <v/>
      </c>
      <c r="T44" s="38"/>
      <c r="U44" s="241"/>
      <c r="V44" s="242"/>
      <c r="W44" s="71"/>
      <c r="AI44" s="1"/>
      <c r="AJ44" s="16"/>
      <c r="AK44" s="16"/>
      <c r="AL44" s="16"/>
      <c r="AM44" s="16"/>
      <c r="AN44" s="16"/>
      <c r="AO44" s="15"/>
      <c r="AP44" s="16"/>
      <c r="AQ44" s="16"/>
      <c r="AR44" s="16"/>
      <c r="AS44" s="16"/>
      <c r="AT44" s="16"/>
      <c r="AU44" s="16"/>
      <c r="AV44" s="16"/>
      <c r="AW44" s="17"/>
      <c r="AX44" s="5"/>
      <c r="AY44" s="8"/>
      <c r="AZ44" s="8"/>
      <c r="BA44" s="5"/>
      <c r="BB44" s="8"/>
      <c r="BC44" s="8"/>
      <c r="BD44" s="8"/>
      <c r="BE44" s="5"/>
      <c r="BF44" s="5"/>
    </row>
    <row r="45" spans="1:58" ht="18.75" customHeight="1" x14ac:dyDescent="0.45">
      <c r="B45" s="42"/>
      <c r="C45" s="43"/>
      <c r="D45" s="43"/>
      <c r="E45" s="44"/>
      <c r="F45" s="39"/>
      <c r="G45" s="40"/>
      <c r="H45" s="40"/>
      <c r="I45" s="40"/>
      <c r="J45" s="40"/>
      <c r="K45" s="40"/>
      <c r="L45" s="40"/>
      <c r="M45" s="40"/>
      <c r="N45" s="40"/>
      <c r="O45" s="40"/>
      <c r="P45" s="40"/>
      <c r="Q45" s="40"/>
      <c r="R45" s="40"/>
      <c r="S45" s="41"/>
      <c r="T45" s="41"/>
      <c r="U45" s="39"/>
      <c r="V45" s="39"/>
      <c r="AI45" s="1"/>
      <c r="AJ45" s="16"/>
      <c r="AK45" s="16"/>
      <c r="AL45" s="16"/>
      <c r="AM45" s="16"/>
      <c r="AN45" s="16"/>
      <c r="AO45" s="15"/>
      <c r="AP45" s="16"/>
      <c r="AQ45" s="16"/>
      <c r="AR45" s="16"/>
      <c r="AS45" s="16"/>
      <c r="AT45" s="16"/>
      <c r="AU45" s="16"/>
      <c r="AV45" s="16"/>
      <c r="AW45" s="17"/>
      <c r="AX45" s="5"/>
      <c r="AY45" s="8"/>
      <c r="AZ45" s="8"/>
      <c r="BA45" s="5"/>
      <c r="BB45" s="8"/>
      <c r="BC45" s="8"/>
      <c r="BD45" s="8"/>
      <c r="BE45" s="5"/>
      <c r="BF45" s="5"/>
    </row>
    <row r="46" spans="1:58" ht="22.8" thickBot="1" x14ac:dyDescent="0.5">
      <c r="B46" s="11" t="s">
        <v>76</v>
      </c>
      <c r="M46" s="7"/>
      <c r="N46" s="7"/>
      <c r="O46" s="7"/>
      <c r="P46" s="7"/>
      <c r="Q46" s="7"/>
      <c r="Y46" s="18"/>
      <c r="Z46" s="18"/>
      <c r="AA46" s="18"/>
      <c r="AB46" s="18"/>
      <c r="AC46" s="18"/>
      <c r="AD46" s="18"/>
      <c r="AE46" s="18"/>
      <c r="AF46" s="18"/>
      <c r="AG46" s="18"/>
      <c r="AH46" s="18"/>
      <c r="AI46" s="25"/>
      <c r="AJ46" s="18"/>
    </row>
    <row r="47" spans="1:58" ht="38.25" customHeight="1" thickTop="1" thickBot="1" x14ac:dyDescent="0.5">
      <c r="B47" s="51"/>
      <c r="C47" s="221" t="s">
        <v>57</v>
      </c>
      <c r="D47" s="222"/>
      <c r="E47" s="223" t="s">
        <v>100</v>
      </c>
      <c r="F47" s="224"/>
      <c r="G47" s="224"/>
      <c r="H47" s="213" t="s">
        <v>56</v>
      </c>
      <c r="I47" s="213"/>
      <c r="J47" s="213"/>
      <c r="K47" s="224" t="s">
        <v>41</v>
      </c>
      <c r="L47" s="224"/>
      <c r="M47" s="224"/>
      <c r="N47" s="213" t="s">
        <v>78</v>
      </c>
      <c r="O47" s="213"/>
      <c r="P47" s="213"/>
      <c r="Q47" s="213" t="s">
        <v>102</v>
      </c>
      <c r="R47" s="213"/>
      <c r="S47" s="213"/>
      <c r="T47" s="213" t="s">
        <v>80</v>
      </c>
      <c r="U47" s="213"/>
      <c r="V47" s="214"/>
      <c r="W47" s="37"/>
      <c r="X47" s="36" t="s">
        <v>42</v>
      </c>
      <c r="Y47" s="26" t="s">
        <v>8</v>
      </c>
      <c r="Z47" s="26" t="s">
        <v>10</v>
      </c>
      <c r="AA47" s="26" t="s">
        <v>11</v>
      </c>
      <c r="AB47" s="35" t="s">
        <v>44</v>
      </c>
      <c r="AC47" s="36" t="s">
        <v>45</v>
      </c>
      <c r="AD47" s="36" t="s">
        <v>95</v>
      </c>
      <c r="AE47" s="36" t="s">
        <v>96</v>
      </c>
      <c r="AF47" s="36" t="s">
        <v>99</v>
      </c>
      <c r="AG47" s="36" t="s">
        <v>94</v>
      </c>
      <c r="AH47" s="36" t="s">
        <v>55</v>
      </c>
      <c r="AI47" s="36" t="s">
        <v>98</v>
      </c>
      <c r="AJ47" s="36" t="s">
        <v>97</v>
      </c>
      <c r="AK47" s="26" t="s">
        <v>9</v>
      </c>
      <c r="AL47" s="26" t="s">
        <v>43</v>
      </c>
      <c r="AM47" s="26" t="s">
        <v>33</v>
      </c>
      <c r="AN47" s="26" t="s">
        <v>34</v>
      </c>
      <c r="AO47" s="26" t="s">
        <v>12</v>
      </c>
      <c r="AP47" s="26" t="s">
        <v>36</v>
      </c>
      <c r="AQ47" s="26" t="s">
        <v>37</v>
      </c>
      <c r="AR47" s="26" t="s">
        <v>38</v>
      </c>
      <c r="AS47" s="26" t="s">
        <v>39</v>
      </c>
      <c r="AT47" s="26" t="s">
        <v>40</v>
      </c>
    </row>
    <row r="48" spans="1:58" ht="31.5" customHeight="1" thickTop="1" x14ac:dyDescent="0.45">
      <c r="B48" s="55" t="s">
        <v>13</v>
      </c>
      <c r="C48" s="215" t="str">
        <f>C14</f>
        <v>中之条　一郎</v>
      </c>
      <c r="D48" s="216"/>
      <c r="E48" s="217">
        <v>5000000</v>
      </c>
      <c r="F48" s="218"/>
      <c r="G48" s="218"/>
      <c r="H48" s="219"/>
      <c r="I48" s="219"/>
      <c r="J48" s="219"/>
      <c r="K48" s="219">
        <v>800000</v>
      </c>
      <c r="L48" s="219"/>
      <c r="M48" s="219"/>
      <c r="N48" s="218">
        <v>2500000</v>
      </c>
      <c r="O48" s="218"/>
      <c r="P48" s="218"/>
      <c r="Q48" s="219">
        <v>1000000</v>
      </c>
      <c r="R48" s="219"/>
      <c r="S48" s="219"/>
      <c r="T48" s="219"/>
      <c r="U48" s="219"/>
      <c r="V48" s="220"/>
      <c r="W48" s="32"/>
      <c r="X48" s="26">
        <f>IF(C14="","",DATEDIF(E14,$AA$5,"Y"))</f>
        <v>65</v>
      </c>
      <c r="Y48" s="28">
        <f>IF(E14="","",DATEDIF(E14,$AA$6,"Y"))</f>
        <v>65</v>
      </c>
      <c r="Z48" s="27" t="str">
        <f>IF(C14="","",IF(OR(AF48&gt;550000,AD48&gt;=1),"○",""))</f>
        <v>○</v>
      </c>
      <c r="AA48" s="29">
        <f>COUNTIF(G14:R14,"国保")</f>
        <v>12</v>
      </c>
      <c r="AB48" s="33">
        <f>IF(E48&lt;=550999,0,IF(AND(E48&gt;=551000,E48&lt;=1618999),E48-550000,IF(AND(E48&gt;=1619000,E48&lt;=1619999),1619000,IF(AND(E48&gt;=1620000,E48&lt;=1621999),1070000,IF(AND(E48&gt;=1622000,E48&lt;=1623999),1072000,IF(AND(E48&gt;=1624000,E48&lt;=1627999),1074000,IF(AND(E48&gt;=1628000,E48&lt;=1799999),ROUNDDOWN(E48/4,-3)*2.4+100000,IF(AND(E48&gt;=1800000,E48&lt;=3599999),ROUNDDOWN(E48/4,-3)*2.8-80000,IF(AND(E48&gt;=3600000,E48&lt;=6599999),ROUNDDOWN(E48/4,-3)*3.2-440000,IF(AND(E48&gt;=6600000,E48&lt;=8499999),ROUNDDOWN(E48*0.9-1100000,0),E48-1950000))))))))))</f>
        <v>3560000</v>
      </c>
      <c r="AC48" s="27">
        <f>IF(T14&gt;=1,AB48*3/10,AB48)</f>
        <v>3560000</v>
      </c>
      <c r="AD48" s="27">
        <f>IF(C14="","",ROUNDDOWN(IF(AND(X48&lt;65,K48&lt;=1299999),MAX(0,K48-600000),IF(AND(X48&lt;65,K48&gt;=1300000,K48&lt;=4099999),K48*0.75-275000,IF(AND(X48&lt;65,K48&gt;=4100000,K48&lt;=7699999),K48*0.85-685000,IF(AND(X48&lt;65,K48&gt;=7700000,K48&lt;=9999999),K48*0.95-1455000,IF(AND(X48&lt;65,K48&gt;=10000000),K48-1955000,IF(AND(X48&gt;=65,K48&lt;=3299999),MAX(0,K48-1100000),IF(AND(X48&gt;=65,K48&gt;=3300000,K48&lt;=4099999),K48*0.75-275000,IF(AND(X48&gt;=65,K48&gt;=4100000,K48&lt;=7699999),K48*0.85-685000,IF(AND(X48&gt;=65,K48&gt;=7700000,K48&lt;=9999999),K48*0.95-1455000,K48-1955000))))))))),0))</f>
        <v>0</v>
      </c>
      <c r="AE48" s="27">
        <f>IF(C14="","",IF((AC48+AD48)&gt;=100000,-(MIN(AB48,100000)+MIN(AD48,100000)-100000),0))</f>
        <v>0</v>
      </c>
      <c r="AF48" s="27">
        <f>E48-H48</f>
        <v>5000000</v>
      </c>
      <c r="AG48" s="27">
        <f>IF(AF48&lt;=550999,0,IF(AND(AF48&gt;=551000,AF48&lt;=1618999),AF48-550000,IF(AND(AF48&gt;=1619000,AF48&lt;=1619999),1619000,IF(AND(AF48&gt;=1620000,AF48&lt;=1621999),1070000,IF(AND(AF48&gt;=1622000,AF48&lt;=1623999),1072000,IF(AND(AF48&gt;=1624000,AF48&lt;=1627999),1074000,IF(AND(AF48&gt;=1628000,AF48&lt;=1799999),ROUNDDOWN(AF48/4,-3)*2.4+100000,IF(AND(AF48&gt;=1800000,AF48&lt;=3599999),ROUNDDOWN(AF48/4,-3)*2.8-80000,IF(AND(AF48&gt;=3600000,AF48&lt;=6599999),ROUNDDOWN(AF48/4,-3)*3.2-440000,IF(AND(AF48&gt;=6600000,AF48&lt;=8499999),ROUNDDOWN(AF48*0.9-1100000,0),AF48-1950000))))))))))</f>
        <v>3560000</v>
      </c>
      <c r="AH48" s="27">
        <f>IF(T14&gt;=1,AG48*3/10,AG48)</f>
        <v>3560000</v>
      </c>
      <c r="AI48" s="27">
        <f>IF(C14="","",AD48+AK48)</f>
        <v>0</v>
      </c>
      <c r="AJ48" s="27">
        <f>IF(C14="","",IF((AC48+AI48)&gt;=100000,-(MIN(AB48,100000)+MIN(AI48,100000)-100000),0))</f>
        <v>0</v>
      </c>
      <c r="AK48" s="27">
        <f>IF(C14="","",IF(AND(X48&gt;=65,AD48&gt;=150000),-150000,IF(AND(X48&gt;=65,AD48&lt;150000),-AD48,0)))</f>
        <v>0</v>
      </c>
      <c r="AL48" s="27">
        <f>IF(C14="","",N48+Q48+T48+AH48+AI48+AJ48+AK48)</f>
        <v>7060000</v>
      </c>
      <c r="AM48" s="30">
        <f>IF(C14="","",DATE(YEAR(E14)+40,MONTH(E14),DAY(E14)-1))</f>
        <v>34669</v>
      </c>
      <c r="AN48" s="30">
        <f>IF(C14="","",DATE(YEAR(E14)+65,MONTH(E14),DAY(E14)-1))</f>
        <v>43800</v>
      </c>
      <c r="AO48" s="29">
        <f>COUNTIF(G15:R15,"○")</f>
        <v>0</v>
      </c>
      <c r="AP48" s="30">
        <f>IF(C14="","",DATE(YEAR(E14)+75,MONTH(E14),DAY(E14)-1))</f>
        <v>47453</v>
      </c>
      <c r="AQ48" s="30">
        <f>IF(C14="","",DATE(YEAR(E14)+80,MONTH(E14),DAY(E14)-1))</f>
        <v>49279</v>
      </c>
      <c r="AR48" s="30">
        <f>IF(C14="","",DATE(YEAR(E14)+83,MONTH(E14),DAY(E14)-1))</f>
        <v>50375</v>
      </c>
      <c r="AS48" s="212">
        <f>COUNTIF(G44:U44,"特定")</f>
        <v>0</v>
      </c>
      <c r="AT48" s="212">
        <f>COUNTIF(G44:U44,"特継")</f>
        <v>0</v>
      </c>
    </row>
    <row r="49" spans="2:49" ht="31.5" customHeight="1" x14ac:dyDescent="0.45">
      <c r="B49" s="56" t="s">
        <v>14</v>
      </c>
      <c r="C49" s="208" t="str">
        <f>C17</f>
        <v>中之条　花子</v>
      </c>
      <c r="D49" s="209"/>
      <c r="E49" s="210">
        <v>1000000</v>
      </c>
      <c r="F49" s="211"/>
      <c r="G49" s="211"/>
      <c r="H49" s="200">
        <v>1000000</v>
      </c>
      <c r="I49" s="200"/>
      <c r="J49" s="200"/>
      <c r="K49" s="200"/>
      <c r="L49" s="200"/>
      <c r="M49" s="200"/>
      <c r="N49" s="200"/>
      <c r="O49" s="200"/>
      <c r="P49" s="200"/>
      <c r="Q49" s="200"/>
      <c r="R49" s="200"/>
      <c r="S49" s="200"/>
      <c r="T49" s="200"/>
      <c r="U49" s="200"/>
      <c r="V49" s="201"/>
      <c r="W49" s="32"/>
      <c r="X49" s="26">
        <f>IF(C17="","",DATEDIF(E17,$AA$5,"Y"))</f>
        <v>58</v>
      </c>
      <c r="Y49" s="28">
        <f>IF(E17="","",DATEDIF(E17,$AA$6,"Y"))</f>
        <v>59</v>
      </c>
      <c r="Z49" s="27" t="str">
        <f>IF(C17="","",IF(AND(OR(AF49&gt;550000,AD49&gt;=1),S19&gt;=1),"○",""))</f>
        <v/>
      </c>
      <c r="AA49" s="29">
        <f>COUNTIF(G17:R17,"国保")</f>
        <v>12</v>
      </c>
      <c r="AB49" s="33">
        <f t="shared" ref="AB49:AB56" si="19">IF(E49&lt;=550999,0,IF(AND(E49&gt;=551000,E49&lt;=1618999),E49-550000,IF(AND(E49&gt;=1619000,E49&lt;=1619999),1619000,IF(AND(E49&gt;=1620000,E49&lt;=1621999),1070000,IF(AND(E49&gt;=1622000,E49&lt;=1623999),1072000,IF(AND(E49&gt;=1624000,E49&lt;=1627999),1074000,IF(AND(E49&gt;=1628000,E49&lt;=1799999),ROUNDDOWN(E49/4,-3)*2.4+100000,IF(AND(E49&gt;=1800000,E49&lt;=3599999),ROUNDDOWN(E49/4,-3)*2.8-80000,IF(AND(E49&gt;=3600000,E49&lt;=6599999),ROUNDDOWN(E49/4,-3)*3.2-440000,IF(AND(E49&gt;=6600000,E49&lt;=8499999),ROUNDDOWN(E49*0.9-1100000,0),E49-1950000))))))))))</f>
        <v>450000</v>
      </c>
      <c r="AC49" s="27">
        <f>IF(T17&gt;=1,AB49*3/10,AB49)</f>
        <v>450000</v>
      </c>
      <c r="AD49" s="27">
        <f>IF(C17="","",ROUNDDOWN(IF(AND(X49&lt;65,K49&lt;=1299999),MAX(0,K49-600000),IF(AND(X49&lt;65,K49&gt;=1300000,K49&lt;=4099999),K49*0.75-275000,IF(AND(X49&lt;65,K49&gt;=4100000,K49&lt;=7699999),K49*0.85-685000,IF(AND(X49&lt;65,K49&gt;=7700000,K49&lt;=9999999),K49*0.95-1455000,IF(AND(X49&lt;65,K49&gt;=10000000),K49-1955000,IF(AND(X49&gt;=65,K49&lt;=3299999),MAX(0,K49-1100000),IF(AND(X49&gt;=65,K49&gt;=3300000,K49&lt;=4099999),K49*0.75-275000,IF(AND(X49&gt;=65,K49&gt;=4100000,K49&lt;=7699999),K49*0.85-685000,IF(AND(X49&gt;=65,K49&gt;=7700000,K49&lt;=9999999),K49*0.95-1455000,K49-1955000))))))))),0))</f>
        <v>0</v>
      </c>
      <c r="AE49" s="27">
        <f>IF(C17="","",IF((AC49+AD49)&gt;=100000,-(MIN(AB49,100000)+MIN(AD49,100000)-100000),0))</f>
        <v>0</v>
      </c>
      <c r="AF49" s="27">
        <f t="shared" ref="AF49:AF56" si="20">E49-H49</f>
        <v>0</v>
      </c>
      <c r="AG49" s="27">
        <f t="shared" ref="AG49:AG56" si="21">IF(AF49&lt;=550999,0,IF(AND(AF49&gt;=551000,AF49&lt;=1618999),AF49-550000,IF(AND(AF49&gt;=1619000,AF49&lt;=1619999),1619000,IF(AND(AF49&gt;=1620000,AF49&lt;=1621999),1070000,IF(AND(AF49&gt;=1622000,AF49&lt;=1623999),1072000,IF(AND(AF49&gt;=1624000,AF49&lt;=1627999),1074000,IF(AND(AF49&gt;=1628000,AF49&lt;=1799999),ROUNDDOWN(AF49/4,-3)*2.4+100000,IF(AND(AF49&gt;=1800000,AF49&lt;=3599999),ROUNDDOWN(AF49/4,-3)*2.8-80000,IF(AND(AF49&gt;=3600000,AF49&lt;=6599999),ROUNDDOWN(AF49/4,-3)*3.2-440000,IF(AND(AF49&gt;=6600000,AF49&lt;=8499999),ROUNDDOWN(AF49*0.9-1100000,0),AF49-1950000))))))))))</f>
        <v>0</v>
      </c>
      <c r="AH49" s="27">
        <f>IF(T17&gt;=1,AG49*3/10,AG49)</f>
        <v>0</v>
      </c>
      <c r="AI49" s="27">
        <f>IF(C17="","",AD49+AK49)</f>
        <v>0</v>
      </c>
      <c r="AJ49" s="27">
        <f>IF(C17="","",IF((AC49+AI49)&gt;=100000,-(MIN(AB49,100000)+MIN(AI49,100000)-100000),0))</f>
        <v>0</v>
      </c>
      <c r="AK49" s="27">
        <f>IF(C17="","",IF(AND(X49&gt;=65,AD49&gt;=150000),-150000,IF(AND(X49&gt;=65,AD49&lt;150000),-AD49,0)))</f>
        <v>0</v>
      </c>
      <c r="AL49" s="27">
        <f>IF(C17="","",N49+Q49+T49+AH49+AI49+AJ49+AK49)</f>
        <v>0</v>
      </c>
      <c r="AM49" s="30">
        <f>IF(C17="","",DATE(YEAR(E17)+40,MONTH(E17),DAY(E17)-1))</f>
        <v>36926</v>
      </c>
      <c r="AN49" s="30">
        <f>IF(C17="","",DATE(YEAR(E17)+65,MONTH(E17),DAY(E17)))</f>
        <v>46058</v>
      </c>
      <c r="AO49" s="29">
        <f>COUNTIF(G18:R18,"○")</f>
        <v>12</v>
      </c>
      <c r="AP49" s="30">
        <f>IF(C17="","",DATE(YEAR(E17)+75,MONTH(E17),DAY(E17)-1))</f>
        <v>49709</v>
      </c>
      <c r="AQ49" s="30">
        <f>IF(C17="","",DATE(YEAR(E17)+80,MONTH(E17),DAY(E17)-1))</f>
        <v>51536</v>
      </c>
      <c r="AR49" s="30">
        <f>IF(C17="","",DATE(YEAR(E17)+83,MONTH(E17),DAY(E17)-1))</f>
        <v>52631</v>
      </c>
      <c r="AS49" s="212"/>
      <c r="AT49" s="212"/>
    </row>
    <row r="50" spans="2:49" ht="31.5" customHeight="1" x14ac:dyDescent="0.45">
      <c r="B50" s="56" t="s">
        <v>15</v>
      </c>
      <c r="C50" s="208" t="str">
        <f>C20</f>
        <v>中之条　松子</v>
      </c>
      <c r="D50" s="209"/>
      <c r="E50" s="210"/>
      <c r="F50" s="211"/>
      <c r="G50" s="211"/>
      <c r="H50" s="200"/>
      <c r="I50" s="200"/>
      <c r="J50" s="200"/>
      <c r="K50" s="200">
        <v>100000</v>
      </c>
      <c r="L50" s="200"/>
      <c r="M50" s="200"/>
      <c r="N50" s="200"/>
      <c r="O50" s="200"/>
      <c r="P50" s="200"/>
      <c r="Q50" s="200"/>
      <c r="R50" s="200"/>
      <c r="S50" s="200"/>
      <c r="T50" s="200"/>
      <c r="U50" s="200"/>
      <c r="V50" s="201"/>
      <c r="W50" s="32"/>
      <c r="X50" s="26">
        <f>IF(C20="","",DATEDIF(E20,$AA$5,"Y"))</f>
        <v>79</v>
      </c>
      <c r="Y50" s="28">
        <f>IF(E20="","",DATEDIF(E20,$AA$6,"Y"))</f>
        <v>79</v>
      </c>
      <c r="Z50" s="27" t="str">
        <f>IF(C20="","",IF(AND(OR(AF50&gt;550000,AD50&gt;=1),S22&gt;=1),"○",""))</f>
        <v/>
      </c>
      <c r="AA50" s="29">
        <f>COUNTIF(G20:R20,"国保")</f>
        <v>0</v>
      </c>
      <c r="AB50" s="33">
        <f t="shared" si="19"/>
        <v>0</v>
      </c>
      <c r="AC50" s="27">
        <f>IF(T20&gt;=1,AB50*3/10,AB50)</f>
        <v>0</v>
      </c>
      <c r="AD50" s="27">
        <f>IF(C20="","",ROUNDDOWN(IF(AND(X50&lt;65,K50&lt;=1299999),MAX(0,K50-600000),IF(AND(X50&lt;65,K50&gt;=1300000,K50&lt;=4099999),K50*0.75-275000,IF(AND(X50&lt;65,K50&gt;=4100000,K50&lt;=7699999),K50*0.85-685000,IF(AND(X50&lt;65,K50&gt;=7700000,K50&lt;=9999999),K50*0.95-1455000,IF(AND(X50&lt;65,K50&gt;=10000000),K50-1955000,IF(AND(X50&gt;=65,K50&lt;=3299999),MAX(0,K50-1100000),IF(AND(X50&gt;=65,K50&gt;=3300000,K50&lt;=4099999),K50*0.75-275000,IF(AND(X50&gt;=65,K50&gt;=4100000,K50&lt;=7699999),K50*0.85-685000,IF(AND(X50&gt;=65,K50&gt;=7700000,K50&lt;=9999999),K50*0.95-1455000,K50-1955000))))))))),0))</f>
        <v>0</v>
      </c>
      <c r="AE50" s="27">
        <f>IF(OR(C20="",S21="○"),"",IF((AC50+AD50)&gt;=100000,-(MIN(AB50,100000)+MIN(AD50,100000)-100000),0))</f>
        <v>0</v>
      </c>
      <c r="AF50" s="27">
        <f t="shared" si="20"/>
        <v>0</v>
      </c>
      <c r="AG50" s="27">
        <f t="shared" si="21"/>
        <v>0</v>
      </c>
      <c r="AH50" s="27">
        <f>IF(T20&gt;=1,AG50*3/10,AG50)</f>
        <v>0</v>
      </c>
      <c r="AI50" s="27">
        <f>IF(C20="","",AD50+AK50)</f>
        <v>0</v>
      </c>
      <c r="AJ50" s="27">
        <f>IF(C20="","",IF((AC50+AI50)&gt;=100000,-(MIN(AB50,100000)+MIN(AI50,100000)-100000),0))</f>
        <v>0</v>
      </c>
      <c r="AK50" s="27">
        <f>IF(C20="","",IF(AND(X50&gt;=65,AD50&gt;=150000),-150000,IF(AND(X50&gt;=65,AD50&lt;150000),-AD50,0)))</f>
        <v>0</v>
      </c>
      <c r="AL50" s="27">
        <f>IF(C20="","",N50+Q50+T50+AH50+AI50+AJ50+AK50)</f>
        <v>0</v>
      </c>
      <c r="AM50" s="30">
        <f>IF(C20="","",DATE(YEAR(E20)+40,MONTH(E20),DAY(E20)-1))</f>
        <v>29345</v>
      </c>
      <c r="AN50" s="30">
        <f>IF(C20="","",DATE(YEAR(E20)+65,MONTH(E20),DAY(E20)))</f>
        <v>38477</v>
      </c>
      <c r="AO50" s="29">
        <f>COUNTIF(G21:R21,"○")</f>
        <v>0</v>
      </c>
      <c r="AP50" s="30">
        <f>IF(C20="","",DATE(YEAR(E20)+75,MONTH(E20),DAY(E20)-1))</f>
        <v>42128</v>
      </c>
      <c r="AQ50" s="30">
        <f>IF(C20="","",DATE(YEAR(E20)+80,MONTH(E20),DAY(E20)-1))</f>
        <v>43955</v>
      </c>
      <c r="AR50" s="30">
        <f>IF(C20="","",DATE(YEAR(E20)+83,MONTH(E20),DAY(E20)-1))</f>
        <v>45050</v>
      </c>
      <c r="AS50" s="212"/>
      <c r="AT50" s="212"/>
    </row>
    <row r="51" spans="2:49" ht="31.5" customHeight="1" x14ac:dyDescent="0.45">
      <c r="B51" s="56" t="s">
        <v>16</v>
      </c>
      <c r="C51" s="208" t="str">
        <f>C23</f>
        <v>中之条　太郎</v>
      </c>
      <c r="D51" s="209"/>
      <c r="E51" s="210"/>
      <c r="F51" s="211"/>
      <c r="G51" s="211"/>
      <c r="H51" s="200"/>
      <c r="I51" s="200"/>
      <c r="J51" s="200"/>
      <c r="K51" s="200"/>
      <c r="L51" s="200"/>
      <c r="M51" s="200"/>
      <c r="N51" s="200"/>
      <c r="O51" s="200"/>
      <c r="P51" s="200"/>
      <c r="Q51" s="200"/>
      <c r="R51" s="200"/>
      <c r="S51" s="200"/>
      <c r="T51" s="200"/>
      <c r="U51" s="200"/>
      <c r="V51" s="201"/>
      <c r="W51" s="32"/>
      <c r="X51" s="26">
        <f>IF(C23="","",DATEDIF(E23,$AA$5,"Y"))</f>
        <v>6</v>
      </c>
      <c r="Y51" s="28">
        <f>IF(E23="","",DATEDIF(E23,$AA$6,"Y"))</f>
        <v>6</v>
      </c>
      <c r="Z51" s="27" t="str">
        <f>IF(C23="","",IF(AND(OR(AF51&gt;550000,AD51&gt;=1),S25&gt;=1),"○",""))</f>
        <v/>
      </c>
      <c r="AA51" s="29">
        <f>COUNTIF(G23:R23,"国保")</f>
        <v>9</v>
      </c>
      <c r="AB51" s="33">
        <f t="shared" si="19"/>
        <v>0</v>
      </c>
      <c r="AC51" s="27">
        <f>IF(T23&gt;=1,AB51*3/10,AB51)</f>
        <v>0</v>
      </c>
      <c r="AD51" s="27">
        <f>IF(C23="","",ROUNDDOWN(IF(AND(X51&lt;65,K51&lt;=1299999),MAX(0,K51-600000),IF(AND(X51&lt;65,K51&gt;=1300000,K51&lt;=4099999),K51*0.75-275000,IF(AND(X51&lt;65,K51&gt;=4100000,K51&lt;=7699999),K51*0.85-685000,IF(AND(X51&lt;65,K51&gt;=7700000,K51&lt;=9999999),K51*0.95-1455000,IF(AND(X51&lt;65,K51&gt;=10000000),K51-1955000,IF(AND(X51&gt;=65,K51&lt;=3299999),MAX(0,K51-1100000),IF(AND(X51&gt;=65,K51&gt;=3300000,K51&lt;=4099999),K51*0.75-275000,IF(AND(X51&gt;=65,K51&gt;=4100000,K51&lt;=7699999),K51*0.85-685000,IF(AND(X51&gt;=65,K51&gt;=7700000,K51&lt;=9999999),K51*0.95-1455000,K51-1955000))))))))),0))</f>
        <v>0</v>
      </c>
      <c r="AE51" s="27">
        <f>IF(C23="","",IF((AC51+AD51)&gt;=100000,-(MIN(AB51,100000)+MIN(AD51,100000)-100000),0))</f>
        <v>0</v>
      </c>
      <c r="AF51" s="27">
        <f t="shared" si="20"/>
        <v>0</v>
      </c>
      <c r="AG51" s="27">
        <f t="shared" si="21"/>
        <v>0</v>
      </c>
      <c r="AH51" s="27">
        <f>IF(T23&gt;=1,AG51*3/10,AG51)</f>
        <v>0</v>
      </c>
      <c r="AI51" s="27">
        <f>IF(C23="","",AD51+AK51)</f>
        <v>0</v>
      </c>
      <c r="AJ51" s="27">
        <f>IF(C23="","",IF((AC51+AI51)&gt;=100000,-(MIN(AB51,100000)+MIN(AI51,100000)-100000),0))</f>
        <v>0</v>
      </c>
      <c r="AK51" s="27">
        <f>IF(C23="","",IF(AND(X51&gt;=65,AD51&gt;=150000),-150000,IF(AND(X51&gt;=65,AD51&lt;150000),-AD51,0)))</f>
        <v>0</v>
      </c>
      <c r="AL51" s="27">
        <f>IF(C23="","",N51+Q51+T51+AH51+AI51+AJ51+AK51)</f>
        <v>0</v>
      </c>
      <c r="AM51" s="30">
        <f>IF(C23="","",DATE(YEAR(E23)+40,MONTH(E23),DAY(E23)-1))</f>
        <v>56095</v>
      </c>
      <c r="AN51" s="30">
        <f>IF(C23="","",DATE(YEAR(E23)+65,MONTH(E23),DAY(E23)))</f>
        <v>65227</v>
      </c>
      <c r="AO51" s="29">
        <f>COUNTIF(G24:R24,"○")</f>
        <v>0</v>
      </c>
      <c r="AP51" s="30">
        <f>IF(C23="","",DATE(YEAR(E23)+75,MONTH(E23),DAY(E23)-1))</f>
        <v>68879</v>
      </c>
      <c r="AQ51" s="30">
        <f>IF(C23="","",DATE(YEAR(E23)+80,MONTH(E23),DAY(E23)-1))</f>
        <v>70705</v>
      </c>
      <c r="AR51" s="30">
        <f>IF(C23="","",DATE(YEAR(E23)+83,MONTH(E23),DAY(E23)-1))</f>
        <v>71800</v>
      </c>
      <c r="AS51" s="212"/>
      <c r="AT51" s="212"/>
    </row>
    <row r="52" spans="2:49" ht="31.5" customHeight="1" x14ac:dyDescent="0.45">
      <c r="B52" s="56" t="s">
        <v>17</v>
      </c>
      <c r="C52" s="208">
        <f>C26</f>
        <v>0</v>
      </c>
      <c r="D52" s="209"/>
      <c r="E52" s="210"/>
      <c r="F52" s="211"/>
      <c r="G52" s="211"/>
      <c r="H52" s="200"/>
      <c r="I52" s="200"/>
      <c r="J52" s="200"/>
      <c r="K52" s="200"/>
      <c r="L52" s="200"/>
      <c r="M52" s="200"/>
      <c r="N52" s="200"/>
      <c r="O52" s="200"/>
      <c r="P52" s="200"/>
      <c r="Q52" s="200"/>
      <c r="R52" s="200"/>
      <c r="S52" s="200"/>
      <c r="T52" s="200"/>
      <c r="U52" s="200"/>
      <c r="V52" s="201"/>
      <c r="W52" s="32"/>
      <c r="X52" s="26" t="str">
        <f>IF(C26="","",DATEDIF(E26,$AA$5,"Y"))</f>
        <v/>
      </c>
      <c r="Y52" s="28" t="str">
        <f>IF(E26="","",DATEDIF(E26,$AA$6,"Y"))</f>
        <v/>
      </c>
      <c r="Z52" s="27" t="str">
        <f>IF(C26="","",IF(AND(OR(AF52&gt;550000,AD52&gt;=1),S28&gt;=1),"○",""))</f>
        <v/>
      </c>
      <c r="AA52" s="29">
        <f>COUNTIF(G26:R26,"国保")</f>
        <v>0</v>
      </c>
      <c r="AB52" s="33">
        <f t="shared" si="19"/>
        <v>0</v>
      </c>
      <c r="AC52" s="27">
        <f>IF(T26&gt;=1,AB52*3/10,AB52)</f>
        <v>0</v>
      </c>
      <c r="AD52" s="27" t="str">
        <f>IF(C26="","",ROUNDDOWN(IF(AND(X52&lt;65,K52&lt;=1299999),MAX(0,K52-600000),IF(AND(X52&lt;65,K52&gt;=1300000,K52&lt;=4099999),K52*0.75-275000,IF(AND(X52&lt;65,K52&gt;=4100000,K52&lt;=7699999),K52*0.85-685000,IF(AND(X52&lt;65,K52&gt;=7700000,K52&lt;=9999999),K52*0.95-1455000,IF(AND(X52&lt;65,K52&gt;=10000000),K52-1955000,IF(AND(X52&gt;=65,K52&lt;=3299999),MAX(0,K52-1100000),IF(AND(X52&gt;=65,K52&gt;=3300000,K52&lt;=4099999),K52*0.75-275000,IF(AND(X52&gt;=65,K52&gt;=4100000,K52&lt;=7699999),K52*0.85-685000,IF(AND(X52&gt;=65,K52&gt;=7700000,K52&lt;=9999999),K52*0.95-1455000,K52-1955000))))))))),0))</f>
        <v/>
      </c>
      <c r="AE52" s="27" t="str">
        <f>IF(C26="","",IF((AC52+AD52)&gt;=100000,-(MIN(AB52,100000)+MIN(AD52,100000)-100000),0))</f>
        <v/>
      </c>
      <c r="AF52" s="27">
        <f t="shared" si="20"/>
        <v>0</v>
      </c>
      <c r="AG52" s="27">
        <f t="shared" si="21"/>
        <v>0</v>
      </c>
      <c r="AH52" s="27">
        <f>IF(T26&gt;=1,AG52*3/10,AG52)</f>
        <v>0</v>
      </c>
      <c r="AI52" s="27" t="str">
        <f>IF(C26="","",AD52+AK52)</f>
        <v/>
      </c>
      <c r="AJ52" s="27" t="str">
        <f>IF(C26="","",IF((AC52+AI52)&gt;=100000,-(MIN(AB52,100000)+MIN(AI52,100000)-100000),0))</f>
        <v/>
      </c>
      <c r="AK52" s="27" t="str">
        <f>IF(C26="","",IF(AND(X52&gt;=65,AD52&gt;=150000),-150000,IF(AND(X52&gt;=65,AD52&lt;150000),-AD52,0)))</f>
        <v/>
      </c>
      <c r="AL52" s="27" t="str">
        <f>IF(C26="","",N52+Q52+T52+AH52+AI52+AJ52+AK52)</f>
        <v/>
      </c>
      <c r="AM52" s="30" t="str">
        <f>IF(C26="","",DATE(YEAR(E26)+40,MONTH(E26),DAY(E26)-1))</f>
        <v/>
      </c>
      <c r="AN52" s="30" t="str">
        <f>IF(C26="","",DATE(YEAR(E26)+65,MONTH(E26),DAY(E26)))</f>
        <v/>
      </c>
      <c r="AO52" s="29">
        <f>COUNTIF(G27:R27,"○")</f>
        <v>0</v>
      </c>
      <c r="AP52" s="30" t="str">
        <f>IF(C26="","",DATE(YEAR(E26)+75,MONTH(E26),DAY(E26)-1))</f>
        <v/>
      </c>
      <c r="AQ52" s="30" t="str">
        <f>IF(C26="","",DATE(YEAR(E26)+80,MONTH(E26),DAY(E26)-1))</f>
        <v/>
      </c>
      <c r="AR52" s="30" t="str">
        <f>IF(C26="","",DATE(YEAR(E26)+83,MONTH(E26),DAY(E26)-1))</f>
        <v/>
      </c>
      <c r="AS52" s="212"/>
      <c r="AT52" s="212"/>
    </row>
    <row r="53" spans="2:49" ht="31.5" customHeight="1" x14ac:dyDescent="0.45">
      <c r="B53" s="56" t="s">
        <v>18</v>
      </c>
      <c r="C53" s="208">
        <f>C29</f>
        <v>0</v>
      </c>
      <c r="D53" s="209"/>
      <c r="E53" s="210"/>
      <c r="F53" s="211"/>
      <c r="G53" s="211"/>
      <c r="H53" s="200"/>
      <c r="I53" s="200"/>
      <c r="J53" s="200"/>
      <c r="K53" s="200"/>
      <c r="L53" s="200"/>
      <c r="M53" s="200"/>
      <c r="N53" s="200"/>
      <c r="O53" s="200"/>
      <c r="P53" s="200"/>
      <c r="Q53" s="200"/>
      <c r="R53" s="200"/>
      <c r="S53" s="200"/>
      <c r="T53" s="200"/>
      <c r="U53" s="200"/>
      <c r="V53" s="201"/>
      <c r="W53" s="32"/>
      <c r="X53" s="26" t="str">
        <f>IF(C29="","",DATEDIF(E29,$AA$5,"Y"))</f>
        <v/>
      </c>
      <c r="Y53" s="28" t="str">
        <f>IF(E29="","",DATEDIF(E29,$AA$6,"Y"))</f>
        <v/>
      </c>
      <c r="Z53" s="27" t="str">
        <f>IF(C29="","",IF(AND(OR(AF53&gt;550000,AD53&gt;=1),S31&gt;=1),"○",""))</f>
        <v/>
      </c>
      <c r="AA53" s="29">
        <f>COUNTIF(G29:R29,"国保")</f>
        <v>0</v>
      </c>
      <c r="AB53" s="33">
        <f t="shared" si="19"/>
        <v>0</v>
      </c>
      <c r="AC53" s="27">
        <f>IF(T29&gt;=1,AB53*3/10,AB53)</f>
        <v>0</v>
      </c>
      <c r="AD53" s="27" t="str">
        <f>IF(C29="","",ROUNDDOWN(IF(AND(X53&lt;65,K53&lt;=1299999),MAX(0,K53-600000),IF(AND(X53&lt;65,K53&gt;=1300000,K53&lt;=4099999),K53*0.75-275000,IF(AND(X53&lt;65,K53&gt;=4100000,K53&lt;=7699999),K53*0.85-685000,IF(AND(X53&lt;65,K53&gt;=7700000,K53&lt;=9999999),K53*0.95-1455000,IF(AND(X53&lt;65,K53&gt;=10000000),K53-1955000,IF(AND(X53&gt;=65,K53&lt;=3299999),MAX(0,K53-1100000),IF(AND(X53&gt;=65,K53&gt;=3300000,K53&lt;=4099999),K53*0.75-275000,IF(AND(X53&gt;=65,K53&gt;=4100000,K53&lt;=7699999),K53*0.85-685000,IF(AND(X53&gt;=65,K53&gt;=7700000,K53&lt;=9999999),K53*0.95-1455000,K53-1955000))))))))),0))</f>
        <v/>
      </c>
      <c r="AE53" s="27" t="str">
        <f>IF(C29="","",IF((AC53+AD53)&gt;=100000,-(MIN(AB53,100000)+MIN(AD53,100000)-100000),0))</f>
        <v/>
      </c>
      <c r="AF53" s="27">
        <f t="shared" si="20"/>
        <v>0</v>
      </c>
      <c r="AG53" s="27">
        <f t="shared" si="21"/>
        <v>0</v>
      </c>
      <c r="AH53" s="27">
        <f>IF(T29&gt;=1,AG53*3/10,AG53)</f>
        <v>0</v>
      </c>
      <c r="AI53" s="27" t="str">
        <f>IF(C29="","",AD53+AK53)</f>
        <v/>
      </c>
      <c r="AJ53" s="27" t="str">
        <f>IF(C29="","",IF((AC53+AI53)&gt;=100000,-(MIN(AB53,100000)+MIN(AI53,100000)-100000),0))</f>
        <v/>
      </c>
      <c r="AK53" s="27" t="str">
        <f>IF(C29="","",IF(AND(X53&gt;=65,AD53&gt;=150000),-150000,IF(AND(X53&gt;=65,AD53&lt;150000),-AD53,0)))</f>
        <v/>
      </c>
      <c r="AL53" s="27" t="str">
        <f>IF(C29="","",N53+Q53+T53+AH53+AI53+AJ53+AK53)</f>
        <v/>
      </c>
      <c r="AM53" s="30" t="str">
        <f>IF(C29="","",DATE(YEAR(E29)+40,MONTH(E29),DAY(E29)-1))</f>
        <v/>
      </c>
      <c r="AN53" s="30" t="str">
        <f>IF(C29="","",DATE(YEAR(E29)+65,MONTH(E29),DAY(E29)))</f>
        <v/>
      </c>
      <c r="AO53" s="29">
        <f>COUNTIF(G30:R30,"○")</f>
        <v>0</v>
      </c>
      <c r="AP53" s="30" t="str">
        <f>IF(C29="","",DATE(YEAR(E29)+75,MONTH(E29),DAY(E29)-1))</f>
        <v/>
      </c>
      <c r="AQ53" s="30" t="str">
        <f>IF(C29="","",DATE(YEAR(E29)+80,MONTH(E29),DAY(E29)-1))</f>
        <v/>
      </c>
      <c r="AR53" s="30" t="str">
        <f>IF(C29="","",DATE(YEAR(E29)+83,MONTH(E29),DAY(E29)-1))</f>
        <v/>
      </c>
      <c r="AS53" s="212"/>
      <c r="AT53" s="212"/>
    </row>
    <row r="54" spans="2:49" ht="31.5" customHeight="1" x14ac:dyDescent="0.45">
      <c r="B54" s="56" t="s">
        <v>19</v>
      </c>
      <c r="C54" s="208">
        <f>C32</f>
        <v>0</v>
      </c>
      <c r="D54" s="209"/>
      <c r="E54" s="210"/>
      <c r="F54" s="211"/>
      <c r="G54" s="211"/>
      <c r="H54" s="200"/>
      <c r="I54" s="200"/>
      <c r="J54" s="200"/>
      <c r="K54" s="200"/>
      <c r="L54" s="200"/>
      <c r="M54" s="200"/>
      <c r="N54" s="200"/>
      <c r="O54" s="200"/>
      <c r="P54" s="200"/>
      <c r="Q54" s="200"/>
      <c r="R54" s="200"/>
      <c r="S54" s="200"/>
      <c r="T54" s="200"/>
      <c r="U54" s="200"/>
      <c r="V54" s="201"/>
      <c r="W54" s="32"/>
      <c r="X54" s="26" t="str">
        <f>IF(C32="","",DATEDIF(E32,$AA$5,"Y"))</f>
        <v/>
      </c>
      <c r="Y54" s="28" t="str">
        <f>IF(E32="","",DATEDIF(E32,$AA$6,"Y"))</f>
        <v/>
      </c>
      <c r="Z54" s="27" t="str">
        <f>IF(C32="","",IF(AND(OR(AF54&gt;550000,AD54&gt;=1),S34&gt;=1),"○",""))</f>
        <v/>
      </c>
      <c r="AA54" s="29">
        <f>COUNTIF(G32:R32,"国保")</f>
        <v>0</v>
      </c>
      <c r="AB54" s="33">
        <f t="shared" si="19"/>
        <v>0</v>
      </c>
      <c r="AC54" s="27">
        <f>IF(T32&gt;=1,AB54*3/10,AB54)</f>
        <v>0</v>
      </c>
      <c r="AD54" s="27" t="str">
        <f>IF(C32="","",ROUNDDOWN(IF(AND(X54&lt;65,K54&lt;=1299999),MAX(0,K54-600000),IF(AND(X54&lt;65,K54&gt;=1300000,K54&lt;=4099999),K54*0.75-275000,IF(AND(X54&lt;65,K54&gt;=4100000,K54&lt;=7699999),K54*0.85-685000,IF(AND(X54&lt;65,K54&gt;=7700000,K54&lt;=9999999),K54*0.95-1455000,IF(AND(X54&lt;65,K54&gt;=10000000),K54-1955000,IF(AND(X54&gt;=65,K54&lt;=3299999),MAX(0,K54-1100000),IF(AND(X54&gt;=65,K54&gt;=3300000,K54&lt;=4099999),K54*0.75-275000,IF(AND(X54&gt;=65,K54&gt;=4100000,K54&lt;=7699999),K54*0.85-685000,IF(AND(X54&gt;=65,K54&gt;=7700000,K54&lt;=9999999),K54*0.95-1455000,K54-1955000))))))))),0))</f>
        <v/>
      </c>
      <c r="AE54" s="27" t="str">
        <f>IF(C32="","",IF((AC54+AD54)&gt;=100000,-(MIN(AB54,100000)+MIN(AD54,100000)-100000),0))</f>
        <v/>
      </c>
      <c r="AF54" s="27">
        <f t="shared" si="20"/>
        <v>0</v>
      </c>
      <c r="AG54" s="27">
        <f t="shared" si="21"/>
        <v>0</v>
      </c>
      <c r="AH54" s="27">
        <f>IF(T32&gt;=1,AG54*3/10,AG54)</f>
        <v>0</v>
      </c>
      <c r="AI54" s="27" t="str">
        <f>IF(C32="","",AD54+AK54)</f>
        <v/>
      </c>
      <c r="AJ54" s="27" t="str">
        <f>IF(C32="","",IF((AC54+AI54)&gt;=100000,-(MIN(AB54,100000)+MIN(AI54,100000)-100000),0))</f>
        <v/>
      </c>
      <c r="AK54" s="27" t="str">
        <f>IF(C32="","",IF(AND(X54&gt;=65,AD54&gt;=150000),-150000,IF(AND(X54&gt;=65,AD54&lt;150000),-AD54,0)))</f>
        <v/>
      </c>
      <c r="AL54" s="27" t="str">
        <f>IF(C32="","",N54+Q54+T54+AH54+AI54+AJ54+AK54)</f>
        <v/>
      </c>
      <c r="AM54" s="30" t="str">
        <f>IF(C32="","",DATE(YEAR(E32)+40,MONTH(E32),DAY(E32)-1))</f>
        <v/>
      </c>
      <c r="AN54" s="30" t="str">
        <f>IF(C32="","",DATE(YEAR(E32)+65,MONTH(E32),DAY(E32)))</f>
        <v/>
      </c>
      <c r="AO54" s="29">
        <f>COUNTIF(G33:R33,"○")</f>
        <v>0</v>
      </c>
      <c r="AP54" s="30" t="str">
        <f>IF(C32="","",DATE(YEAR(E32)+75,MONTH(E32),DAY(E32)-1))</f>
        <v/>
      </c>
      <c r="AQ54" s="30" t="str">
        <f>IF(C32="","",DATE(YEAR(E32)+80,MONTH(E32),DAY(E32)-1))</f>
        <v/>
      </c>
      <c r="AR54" s="30" t="str">
        <f>IF(C32="","",DATE(YEAR(E32)+83,MONTH(E32),DAY(E32)-1))</f>
        <v/>
      </c>
      <c r="AS54" s="212"/>
      <c r="AT54" s="212"/>
    </row>
    <row r="55" spans="2:49" ht="31.5" customHeight="1" x14ac:dyDescent="0.45">
      <c r="B55" s="56" t="s">
        <v>20</v>
      </c>
      <c r="C55" s="208">
        <f>C35</f>
        <v>0</v>
      </c>
      <c r="D55" s="209"/>
      <c r="E55" s="210"/>
      <c r="F55" s="211"/>
      <c r="G55" s="211"/>
      <c r="H55" s="200"/>
      <c r="I55" s="200"/>
      <c r="J55" s="200"/>
      <c r="K55" s="200"/>
      <c r="L55" s="200"/>
      <c r="M55" s="200"/>
      <c r="N55" s="200"/>
      <c r="O55" s="200"/>
      <c r="P55" s="200"/>
      <c r="Q55" s="200"/>
      <c r="R55" s="200"/>
      <c r="S55" s="200"/>
      <c r="T55" s="200"/>
      <c r="U55" s="200"/>
      <c r="V55" s="201"/>
      <c r="W55" s="32"/>
      <c r="X55" s="26" t="str">
        <f>IF(C35="","",DATEDIF(E35,$AA$5,"Y"))</f>
        <v/>
      </c>
      <c r="Y55" s="28" t="str">
        <f>IF(E35="","",DATEDIF(E35,$AA$6,"Y"))</f>
        <v/>
      </c>
      <c r="Z55" s="27" t="str">
        <f>IF(C35="","",IF(AND(OR(AF55&gt;550000,AD55&gt;=1),S37&gt;=1),"○",""))</f>
        <v/>
      </c>
      <c r="AA55" s="29">
        <f>COUNTIF(G35:R35,"国保")</f>
        <v>0</v>
      </c>
      <c r="AB55" s="33">
        <f t="shared" si="19"/>
        <v>0</v>
      </c>
      <c r="AC55" s="27">
        <f>IF(T35&gt;=1,AB55*3/10,AB55)</f>
        <v>0</v>
      </c>
      <c r="AD55" s="27" t="str">
        <f>IF(C35="","",ROUNDDOWN(IF(AND(X55&lt;65,K55&lt;=1299999),MAX(0,K55-600000),IF(AND(X55&lt;65,K55&gt;=1300000,K55&lt;=4099999),K55*0.75-275000,IF(AND(X55&lt;65,K55&gt;=4100000,K55&lt;=7699999),K55*0.85-685000,IF(AND(X55&lt;65,K55&gt;=7700000,K55&lt;=9999999),K55*0.95-1455000,IF(AND(X55&lt;65,K55&gt;=10000000),K55-1955000,IF(AND(X55&gt;=65,K55&lt;=3299999),MAX(0,K55-1100000),IF(AND(X55&gt;=65,K55&gt;=3300000,K55&lt;=4099999),K55*0.75-275000,IF(AND(X55&gt;=65,K55&gt;=4100000,K55&lt;=7699999),K55*0.85-685000,IF(AND(X55&gt;=65,K55&gt;=7700000,K55&lt;=9999999),K55*0.95-1455000,K55-1955000))))))))),0))</f>
        <v/>
      </c>
      <c r="AE55" s="27" t="str">
        <f>IF(C35="","",IF((AC55+AD55)&gt;=100000,-(MIN(AB55,100000)+MIN(AD55,100000)-100000),0))</f>
        <v/>
      </c>
      <c r="AF55" s="27">
        <f t="shared" si="20"/>
        <v>0</v>
      </c>
      <c r="AG55" s="27">
        <f t="shared" si="21"/>
        <v>0</v>
      </c>
      <c r="AH55" s="27">
        <f>IF(T35&gt;=1,AG55*3/10,AG55)</f>
        <v>0</v>
      </c>
      <c r="AI55" s="27" t="str">
        <f>IF(C35="","",AD55+AK55)</f>
        <v/>
      </c>
      <c r="AJ55" s="27" t="str">
        <f>IF(C35="","",IF((AC55+AI55)&gt;=100000,-(MIN(AB55,100000)+MIN(AI55,100000)-100000),0))</f>
        <v/>
      </c>
      <c r="AK55" s="27" t="str">
        <f>IF(C35="","",IF(AND(X55&gt;=65,AD55&gt;=150000),-150000,IF(AND(X55&gt;=65,AD55&lt;150000),-AD55,0)))</f>
        <v/>
      </c>
      <c r="AL55" s="27" t="str">
        <f>IF(C35="","",N55+Q55+T55+AH55+AI55+AJ55+AK55)</f>
        <v/>
      </c>
      <c r="AM55" s="30" t="str">
        <f>IF(C35="","",DATE(YEAR(E35)+40,MONTH(E35),DAY(E35)-1))</f>
        <v/>
      </c>
      <c r="AN55" s="30" t="str">
        <f>IF(C35="","",DATE(YEAR(E35)+65,MONTH(E35),DAY(E35)))</f>
        <v/>
      </c>
      <c r="AO55" s="29">
        <f>COUNTIF(G36:R36,"○")</f>
        <v>0</v>
      </c>
      <c r="AP55" s="30" t="str">
        <f>IF(C35="","",DATE(YEAR(E35)+75,MONTH(E35),DAY(E35)-1))</f>
        <v/>
      </c>
      <c r="AQ55" s="30" t="str">
        <f>IF(C35="","",DATE(YEAR(E35)+80,MONTH(E35),DAY(E35)-1))</f>
        <v/>
      </c>
      <c r="AR55" s="30" t="str">
        <f>IF(C35="","",DATE(YEAR(E35)+83,MONTH(E35),DAY(E35)-1))</f>
        <v/>
      </c>
      <c r="AS55" s="212"/>
      <c r="AT55" s="212"/>
    </row>
    <row r="56" spans="2:49" ht="31.5" customHeight="1" thickBot="1" x14ac:dyDescent="0.5">
      <c r="B56" s="57" t="s">
        <v>21</v>
      </c>
      <c r="C56" s="202">
        <f>C38</f>
        <v>0</v>
      </c>
      <c r="D56" s="203"/>
      <c r="E56" s="204"/>
      <c r="F56" s="205"/>
      <c r="G56" s="205"/>
      <c r="H56" s="206"/>
      <c r="I56" s="206"/>
      <c r="J56" s="206"/>
      <c r="K56" s="206"/>
      <c r="L56" s="206"/>
      <c r="M56" s="206"/>
      <c r="N56" s="206"/>
      <c r="O56" s="206"/>
      <c r="P56" s="206"/>
      <c r="Q56" s="206"/>
      <c r="R56" s="206"/>
      <c r="S56" s="206"/>
      <c r="T56" s="206"/>
      <c r="U56" s="206"/>
      <c r="V56" s="207"/>
      <c r="W56" s="32"/>
      <c r="X56" s="26" t="str">
        <f>IF(C38="","",DATEDIF(E38,$AA$5,"Y"))</f>
        <v/>
      </c>
      <c r="Y56" s="28" t="str">
        <f>IF(E38="","",DATEDIF(E38,$AA$6,"Y"))</f>
        <v/>
      </c>
      <c r="Z56" s="27" t="str">
        <f>IF(C38="","",IF(AND(OR(AF56&gt;550000,AD56&gt;=1),T40&gt;=1),"○",""))</f>
        <v/>
      </c>
      <c r="AA56" s="29">
        <f>COUNTIF(G38:R38,"国保")</f>
        <v>0</v>
      </c>
      <c r="AB56" s="33">
        <f t="shared" si="19"/>
        <v>0</v>
      </c>
      <c r="AC56" s="27">
        <f>IF(T38&gt;=1,AB56*3/10,AB56)</f>
        <v>0</v>
      </c>
      <c r="AD56" s="27" t="str">
        <f>IF(C38="","",ROUNDDOWN(IF(AND(X56&lt;65,K56&lt;=1299999),MAX(0,K56-600000),IF(AND(X56&lt;65,K56&gt;=1300000,K56&lt;=4099999),K56*0.75-275000,IF(AND(X56&lt;65,K56&gt;=4100000,K56&lt;=7699999),K56*0.85-685000,IF(AND(X56&lt;65,K56&gt;=7700000,K56&lt;=9999999),K56*0.95-1455000,IF(AND(X56&lt;65,K56&gt;=10000000),K56-1955000,IF(AND(X56&gt;=65,K56&lt;=3299999),MAX(0,K56-1100000),IF(AND(X56&gt;=65,K56&gt;=3300000,K56&lt;=4099999),K56*0.75-275000,IF(AND(X56&gt;=65,K56&gt;=4100000,K56&lt;=7699999),K56*0.85-685000,IF(AND(X56&gt;=65,K56&gt;=7700000,K56&lt;=9999999),K56*0.95-1455000,K56-1955000))))))))),0))</f>
        <v/>
      </c>
      <c r="AE56" s="27" t="str">
        <f>IF(C38="","",IF((AC56+AD56)&gt;=100000,-(MIN(AB56,100000)+MIN(AD56,100000)-100000),0))</f>
        <v/>
      </c>
      <c r="AF56" s="27">
        <f t="shared" si="20"/>
        <v>0</v>
      </c>
      <c r="AG56" s="27">
        <f t="shared" si="21"/>
        <v>0</v>
      </c>
      <c r="AH56" s="27">
        <f>IF(T38&gt;=1,AG56*3/10,AG56)</f>
        <v>0</v>
      </c>
      <c r="AI56" s="27" t="str">
        <f>IF(C38="","",AD56+AK56)</f>
        <v/>
      </c>
      <c r="AJ56" s="27" t="str">
        <f>IF(C38="","",IF((AC56+AI56)&gt;=100000,-(MIN(AB56,100000)+MIN(AI56,100000)-100000),0))</f>
        <v/>
      </c>
      <c r="AK56" s="27" t="str">
        <f>IF(C38="","",IF(AND(X56&gt;=65,AD56&gt;=150000),-150000,IF(AND(X56&gt;=65,AD56&lt;150000),-AD56,0)))</f>
        <v/>
      </c>
      <c r="AL56" s="27" t="str">
        <f>IF(C38="","",N56+Q56+T56+AH56+AI56+AJ56+AK56)</f>
        <v/>
      </c>
      <c r="AM56" s="30" t="str">
        <f>IF(C38="","",DATE(YEAR(E38)+40,MONTH(E38),DAY(E38)-1))</f>
        <v/>
      </c>
      <c r="AN56" s="30" t="str">
        <f>IF(C38="","",DATE(YEAR(E38)+65,MONTH(E38),DAY(E38)))</f>
        <v/>
      </c>
      <c r="AO56" s="29">
        <f>COUNTIF(G39:R39,"○")</f>
        <v>0</v>
      </c>
      <c r="AP56" s="30" t="str">
        <f>IF(C38="","",DATE(YEAR(E38)+75,MONTH(E38),DAY(E38)-1))</f>
        <v/>
      </c>
      <c r="AQ56" s="30" t="str">
        <f>IF(C38="","",DATE(YEAR(E38)+80,MONTH(E38),DAY(E38)-1))</f>
        <v/>
      </c>
      <c r="AR56" s="30" t="str">
        <f>IF(C38="","",DATE(YEAR(E38)+83,MONTH(E38),DAY(E38)-1))</f>
        <v/>
      </c>
      <c r="AS56" s="212"/>
      <c r="AT56" s="212"/>
    </row>
    <row r="57" spans="2:49" ht="22.5" customHeight="1" thickBot="1" x14ac:dyDescent="0.5">
      <c r="B57" s="5"/>
      <c r="C57" s="45"/>
      <c r="D57" s="45"/>
      <c r="E57" s="16"/>
      <c r="F57" s="16"/>
      <c r="G57" s="16"/>
      <c r="H57" s="5"/>
      <c r="I57" s="5"/>
      <c r="J57" s="5"/>
      <c r="K57" s="5"/>
      <c r="L57" s="5"/>
      <c r="M57" s="5"/>
      <c r="N57" s="5"/>
      <c r="O57" s="5"/>
      <c r="P57" s="5"/>
      <c r="Q57" s="5"/>
      <c r="R57" s="5"/>
      <c r="U57" s="5"/>
      <c r="V57" s="5"/>
      <c r="W57" s="5"/>
      <c r="X57" s="5"/>
      <c r="Y57" s="16"/>
      <c r="Z57" s="16"/>
      <c r="AA57" s="16"/>
      <c r="AB57" s="16"/>
      <c r="AC57" s="16"/>
      <c r="AD57" s="15"/>
      <c r="AE57" s="16"/>
      <c r="AF57" s="16"/>
      <c r="AG57" s="16"/>
      <c r="AH57" s="16"/>
      <c r="AI57" s="16"/>
      <c r="AJ57" s="16"/>
      <c r="AK57" s="16"/>
      <c r="AL57" s="17"/>
      <c r="AM57" s="5"/>
      <c r="AN57" s="8"/>
      <c r="AO57" s="8"/>
      <c r="AP57" s="5"/>
      <c r="AQ57" s="8"/>
      <c r="AR57" s="8"/>
      <c r="AS57" s="8"/>
      <c r="AT57" s="5"/>
      <c r="AU57" s="5"/>
    </row>
    <row r="58" spans="2:49" ht="30.75" customHeight="1" thickBot="1" x14ac:dyDescent="0.5">
      <c r="B58" s="179" t="s">
        <v>89</v>
      </c>
      <c r="C58" s="180"/>
      <c r="D58" s="180"/>
      <c r="E58" s="180"/>
      <c r="F58" s="180"/>
      <c r="G58" s="180"/>
      <c r="H58" s="180"/>
      <c r="I58" s="180"/>
      <c r="J58" s="180"/>
      <c r="K58" s="180"/>
      <c r="L58" s="180"/>
      <c r="M58" s="180"/>
      <c r="N58" s="180"/>
      <c r="O58" s="180"/>
      <c r="P58" s="180"/>
      <c r="Q58" s="180"/>
      <c r="R58" s="180"/>
      <c r="S58" s="180"/>
      <c r="T58" s="180"/>
      <c r="U58" s="180"/>
      <c r="V58" s="180"/>
      <c r="W58" s="78"/>
      <c r="X58" s="4"/>
      <c r="Y58" s="4"/>
      <c r="Z58" s="4"/>
      <c r="AA58" s="4"/>
      <c r="AB58" s="4"/>
      <c r="AC58" s="4"/>
      <c r="AD58" s="4"/>
      <c r="AE58" s="4"/>
      <c r="AF58" s="4"/>
      <c r="AG58" s="4"/>
      <c r="AH58" s="4"/>
      <c r="AI58" s="4"/>
      <c r="AJ58" s="4"/>
      <c r="AK58" s="4"/>
    </row>
    <row r="59" spans="2:49" ht="22.8" thickBot="1" x14ac:dyDescent="0.5">
      <c r="B59" s="11" t="s">
        <v>22</v>
      </c>
    </row>
    <row r="60" spans="2:49" ht="22.2" x14ac:dyDescent="0.45">
      <c r="B60" s="181" t="s">
        <v>81</v>
      </c>
      <c r="C60" s="182"/>
      <c r="D60" s="183" t="s">
        <v>60</v>
      </c>
      <c r="E60" s="184"/>
      <c r="F60" s="184"/>
      <c r="G60" s="184"/>
      <c r="H60" s="184"/>
      <c r="I60" s="184"/>
      <c r="J60" s="184"/>
      <c r="K60" s="184"/>
      <c r="L60" s="185"/>
      <c r="M60" s="183" t="s">
        <v>59</v>
      </c>
      <c r="N60" s="184"/>
      <c r="O60" s="184"/>
      <c r="P60" s="184"/>
      <c r="Q60" s="184"/>
      <c r="R60" s="184"/>
      <c r="S60" s="184"/>
      <c r="T60" s="184"/>
      <c r="U60" s="184"/>
      <c r="V60" s="186"/>
      <c r="W60" s="11"/>
      <c r="X60" s="11"/>
    </row>
    <row r="61" spans="2:49" ht="33.75" customHeight="1" x14ac:dyDescent="0.45">
      <c r="B61" s="187" t="s">
        <v>82</v>
      </c>
      <c r="C61" s="188"/>
      <c r="D61" s="189" t="s">
        <v>5</v>
      </c>
      <c r="E61" s="189"/>
      <c r="F61" s="189"/>
      <c r="G61" s="189" t="s">
        <v>23</v>
      </c>
      <c r="H61" s="189"/>
      <c r="I61" s="189"/>
      <c r="J61" s="188" t="s">
        <v>83</v>
      </c>
      <c r="K61" s="188"/>
      <c r="L61" s="188"/>
      <c r="M61" s="189" t="s">
        <v>24</v>
      </c>
      <c r="N61" s="189"/>
      <c r="O61" s="189"/>
      <c r="P61" s="188" t="s">
        <v>25</v>
      </c>
      <c r="Q61" s="188"/>
      <c r="R61" s="189" t="s">
        <v>26</v>
      </c>
      <c r="S61" s="189"/>
      <c r="T61" s="88" t="s">
        <v>27</v>
      </c>
      <c r="U61" s="191" t="str">
        <f>IF(B62=0,"",430000+IF(COUNTIF(Z48:Z56,"○")&gt;1,(COUNTIF(Z48:Z56,"○")-1)*100000,0))</f>
        <v/>
      </c>
      <c r="V61" s="192"/>
      <c r="W61" s="70"/>
      <c r="X61" s="70"/>
      <c r="AH61" s="5"/>
      <c r="AI61" s="1"/>
    </row>
    <row r="62" spans="2:49" ht="33.75" customHeight="1" x14ac:dyDescent="0.45">
      <c r="B62" s="193">
        <f>COUNTIF(S39:S40,"被保険者")</f>
        <v>0</v>
      </c>
      <c r="C62" s="194"/>
      <c r="D62" s="195">
        <f>IF(B62=0,0,IF(AND(AS48=0,AT48=0),ROUND(G7*(10-M62)/10*S42/12,0),ROUND(G7*(10-M62)/10*(S42-(AS48+AT48))/12,0)+IF(AS48=0,0,ROUND(G7*(10-M62)/10*AS48/12,0)*1/2))+IF(AT48=0,0,ROUND(G7*(10-M62)/10*AT48/12,0)*3/4))</f>
        <v>0</v>
      </c>
      <c r="E62" s="195"/>
      <c r="F62" s="195"/>
      <c r="G62" s="195">
        <f>IF(B62=0,0,IF(AND(AS48=0,AT48=0),ROUND(G8*(10-M62)/10*S42/12,0),ROUND(G8*(10-M62)/10*(S42-(AS48+AT48))/12,0)+IF(AS48=0,0,ROUND(G8*(10-M62)/10*AS48/12,0)*1/2))+IF(AT48=0,0,ROUND(G8*(10-M62)/10*AT48/12,0)*3/4))</f>
        <v>0</v>
      </c>
      <c r="H62" s="195"/>
      <c r="I62" s="195"/>
      <c r="J62" s="195">
        <f>IF(S43=0,0,ROUND(G9*(10-M62)/10,0)*S43/12)</f>
        <v>8000</v>
      </c>
      <c r="K62" s="195"/>
      <c r="L62" s="195"/>
      <c r="M62" s="197">
        <f>IF(B62=0,0,IF(R62&lt;=U61,7,IF(R62&lt;=U62,5,IF(R62&lt;=U63,2,0))))</f>
        <v>0</v>
      </c>
      <c r="N62" s="197"/>
      <c r="O62" s="197"/>
      <c r="P62" s="188"/>
      <c r="Q62" s="188"/>
      <c r="R62" s="195">
        <f>SUM(AL48:AL56)</f>
        <v>7060000</v>
      </c>
      <c r="S62" s="195"/>
      <c r="T62" s="88" t="s">
        <v>28</v>
      </c>
      <c r="U62" s="191" t="str" cm="1">
        <f t="array" ref="U62">IF(B62=0,"",INDEX(F41:S41,MATCH(0,INDEX(0/F41:S41,),))*295000+IF(COUNTIF(Z48:Z56,"○")&gt;1,(COUNTIF(Z48:Z56,"○")-1)*100000,0)+430000)</f>
        <v/>
      </c>
      <c r="V62" s="192"/>
      <c r="AH62" s="5"/>
      <c r="AI62" s="1"/>
    </row>
    <row r="63" spans="2:49" ht="33.75" customHeight="1" thickBot="1" x14ac:dyDescent="0.5">
      <c r="B63" s="198">
        <f>COUNTIF(V15,"&gt;=1")+COUNTIF(V18,"&gt;=1")+COUNTIF(V21,"&gt;=1")+COUNTIF(V24,"&gt;=1")+COUNTIF(V27,"&gt;=1")+COUNTIF(V30,"&gt;=1")+COUNTIF(V33,"&gt;=1")+COUNTIF(V36,"&gt;=1")+COUNTIF(S39,"&gt;=1")</f>
        <v>1</v>
      </c>
      <c r="C63" s="199"/>
      <c r="D63" s="196"/>
      <c r="E63" s="196"/>
      <c r="F63" s="196"/>
      <c r="G63" s="196"/>
      <c r="H63" s="196"/>
      <c r="I63" s="196"/>
      <c r="J63" s="196"/>
      <c r="K63" s="196"/>
      <c r="L63" s="196"/>
      <c r="M63" s="171" t="str">
        <f>IF(COUNTIF(Y48:Y56,"&lt;=5")&gt;=1,"未就学児","")</f>
        <v/>
      </c>
      <c r="N63" s="171"/>
      <c r="O63" s="171"/>
      <c r="P63" s="190"/>
      <c r="Q63" s="190"/>
      <c r="R63" s="196"/>
      <c r="S63" s="196"/>
      <c r="T63" s="89" t="s">
        <v>29</v>
      </c>
      <c r="U63" s="172" t="str" cm="1">
        <f t="array" ref="U63">IF(B62=0,"",INDEX(F41:S41,MATCH(0,INDEX(0/F41:S41,),))*545000+IF(COUNTIF(Z48:Z56,"○")&gt;1,(COUNTIF(Z48:Z56,"○")-1)*100000,0)+430000)</f>
        <v/>
      </c>
      <c r="V63" s="173"/>
      <c r="AU63" s="9"/>
      <c r="AV63" s="9"/>
      <c r="AW63" s="9"/>
    </row>
    <row r="64" spans="2:49" ht="33.75" customHeight="1" thickBot="1" x14ac:dyDescent="0.5">
      <c r="B64" s="66"/>
      <c r="C64" s="174" t="s">
        <v>57</v>
      </c>
      <c r="D64" s="175"/>
      <c r="E64" s="174" t="s">
        <v>30</v>
      </c>
      <c r="F64" s="176"/>
      <c r="G64" s="176"/>
      <c r="H64" s="176"/>
      <c r="I64" s="175"/>
      <c r="J64" s="177" t="s">
        <v>5</v>
      </c>
      <c r="K64" s="177"/>
      <c r="L64" s="177"/>
      <c r="M64" s="177" t="s">
        <v>6</v>
      </c>
      <c r="N64" s="177"/>
      <c r="O64" s="177"/>
      <c r="P64" s="177" t="s">
        <v>7</v>
      </c>
      <c r="Q64" s="177"/>
      <c r="R64" s="177"/>
      <c r="S64" s="174" t="s">
        <v>31</v>
      </c>
      <c r="T64" s="176"/>
      <c r="U64" s="176"/>
      <c r="V64" s="178"/>
      <c r="Y64" s="10"/>
    </row>
    <row r="65" spans="2:35" ht="31.5" customHeight="1" thickTop="1" x14ac:dyDescent="0.45">
      <c r="B65" s="65" t="s">
        <v>13</v>
      </c>
      <c r="C65" s="162" t="str">
        <f>C14</f>
        <v>中之条　一郎</v>
      </c>
      <c r="D65" s="163"/>
      <c r="E65" s="164">
        <f>IF(V16="被保険者",IF((N48+T48+AC48+AD48+AE48)&gt;=430000,(N48+T48+AC48+AD48+AE48)-430000,0),0)</f>
        <v>5630000</v>
      </c>
      <c r="F65" s="165"/>
      <c r="G65" s="165"/>
      <c r="H65" s="165"/>
      <c r="I65" s="166"/>
      <c r="J65" s="167">
        <f>IF(V16="被保険者",E65*C$7*AA48/12+E$7*(10-M$62)*AA48/12/IF(Z48&lt;=5,20,10),0)+IF(V16="被保険者",ROUND($D$62*IF(SUM($AA$48:$AA$56)-AA48=0,1,AA48/SUM($AA$48:$AA$56)),0))</f>
        <v>418100.00000000006</v>
      </c>
      <c r="K65" s="167"/>
      <c r="L65" s="167"/>
      <c r="M65" s="167">
        <f>IF(V16="被保険者",E65*C$8*AA48/12+E$8*(10-M$62)*AA48/12/IF(Z48&lt;=5,20,10),0)+IF(V16="被保険者",ROUND($G$62*IF(SUM($AA$48:$AA$56)-AA48=0,1,AA48/SUM($AA$48:$AA$56)),0))</f>
        <v>166840</v>
      </c>
      <c r="N65" s="167"/>
      <c r="O65" s="167"/>
      <c r="P65" s="167">
        <f>IF(V16="被保険者",IF(AND(AO48&gt;=1),(E65*C$9*AO48/12)+E$9*(10-M$62)*AO48/12/10+J$62*AO48/SUM($AO$48:$AO$56),0),0)</f>
        <v>0</v>
      </c>
      <c r="Q65" s="167"/>
      <c r="R65" s="167"/>
      <c r="S65" s="168">
        <f t="shared" ref="S65:S73" si="22">SUM(J65:R65)</f>
        <v>584940</v>
      </c>
      <c r="T65" s="169"/>
      <c r="U65" s="169"/>
      <c r="V65" s="170"/>
    </row>
    <row r="66" spans="2:35" ht="31.5" customHeight="1" x14ac:dyDescent="0.45">
      <c r="B66" s="63" t="s">
        <v>14</v>
      </c>
      <c r="C66" s="160" t="str">
        <f>C17</f>
        <v>中之条　花子</v>
      </c>
      <c r="D66" s="161"/>
      <c r="E66" s="153"/>
      <c r="F66" s="154"/>
      <c r="G66" s="154"/>
      <c r="H66" s="154"/>
      <c r="I66" s="155"/>
      <c r="J66" s="156">
        <f>IF(V19="被保険者",E66*C$7*AA49/12+E$7*(10-M$62)*AA49/12/IF(Y49&lt;=5,20,10),0)+IF(V19="被保険者",ROUND($D$62*IF(SUM($AA$48:$AA$56)-AA49=0,1,AA49/SUM($AA$48:$AA$56)),0))</f>
        <v>24000</v>
      </c>
      <c r="K66" s="156"/>
      <c r="L66" s="156"/>
      <c r="M66" s="156">
        <f>IF(V19="被保険者",E66*C$8*AA49/12+E$8*(10-M$62)*AA49/12/IF(Y49&lt;=5,20,10),0)+IF(V19="被保険者",ROUND($G$62*IF(SUM($AA$48:$AA$56)-AA49=0,1,AA49/SUM($AA$48:$AA$56)),0))</f>
        <v>9200</v>
      </c>
      <c r="N66" s="156"/>
      <c r="O66" s="156"/>
      <c r="P66" s="156">
        <f>IF(V19="被保険者",IF(AND(AO49&gt;=1),(E66*C$9*AO49/12)+E$9*(10-M$62)*AO49/12/10+J$62*AO49/SUM($AO$48:$AO$56),0),0)</f>
        <v>16500</v>
      </c>
      <c r="Q66" s="156"/>
      <c r="R66" s="156"/>
      <c r="S66" s="157">
        <f t="shared" si="22"/>
        <v>49700</v>
      </c>
      <c r="T66" s="158"/>
      <c r="U66" s="158"/>
      <c r="V66" s="159"/>
    </row>
    <row r="67" spans="2:35" ht="31.5" customHeight="1" x14ac:dyDescent="0.45">
      <c r="B67" s="63" t="s">
        <v>15</v>
      </c>
      <c r="C67" s="162" t="str">
        <f>C20</f>
        <v>中之条　松子</v>
      </c>
      <c r="D67" s="163"/>
      <c r="E67" s="153">
        <f>IF(V22="被保険者",IF((N50+T50+AC50+AD50+AE50)&gt;=430000,(N50+T50+AC50+AD50+AE50)-430000,0),0)</f>
        <v>0</v>
      </c>
      <c r="F67" s="154"/>
      <c r="G67" s="154"/>
      <c r="H67" s="154"/>
      <c r="I67" s="155"/>
      <c r="J67" s="156">
        <f>IF(V22="被保険者",E67*C$7*AA50/12+E$7*(10-M$62)*AA50/12/IF(Y50&lt;=5,20,10),0)+IF(V22="被保険者",ROUND($D$62*IF(SUM(AA48:AA56)-AA50=0,1,AA50/SUM($AA$48:$AA$56)),0))</f>
        <v>0</v>
      </c>
      <c r="K67" s="156"/>
      <c r="L67" s="156"/>
      <c r="M67" s="156">
        <f>IF(V22="被保険者",E67*C$8*AA50/12+E$8*(10-M$62)*AA50/12/IF(Y50&lt;=5,20,10),0)+IF(V22="被保険者",ROUND($G$62*IF(SUM(AA48:AA56)-AA50=0,1,AA50/SUM($AA$48:$AA$56)),0))</f>
        <v>0</v>
      </c>
      <c r="N67" s="156"/>
      <c r="O67" s="156"/>
      <c r="P67" s="156">
        <f>IF(V22="被保険者",IF(AND(AO50&gt;=1),(E67*C$9*AO50/12)+E$9*(10-M$62)*AO50/12/10+J$62*AO50/SUM($AO$48:$AO$56),0),0)</f>
        <v>0</v>
      </c>
      <c r="Q67" s="156"/>
      <c r="R67" s="156"/>
      <c r="S67" s="157">
        <f t="shared" si="22"/>
        <v>0</v>
      </c>
      <c r="T67" s="158"/>
      <c r="U67" s="158"/>
      <c r="V67" s="159"/>
    </row>
    <row r="68" spans="2:35" ht="31.5" customHeight="1" x14ac:dyDescent="0.45">
      <c r="B68" s="63" t="s">
        <v>16</v>
      </c>
      <c r="C68" s="151" t="str">
        <f>C23</f>
        <v>中之条　太郎</v>
      </c>
      <c r="D68" s="152"/>
      <c r="E68" s="153">
        <f>IF(V25="被保険者",IF((N51+T51+AC51+AD51+AE51)&gt;=430000,(N51+T51+AC51+AD51+AE51)-430000,0),0)</f>
        <v>0</v>
      </c>
      <c r="F68" s="154"/>
      <c r="G68" s="154"/>
      <c r="H68" s="154"/>
      <c r="I68" s="155"/>
      <c r="J68" s="156">
        <f>IF(V25="被保険者",E68*C$7*AA51/12+E$7*(10-M$62)*AA51/12/IF(Y51&lt;=5,20,10),0)+IF(V25="被保険者",ROUND($D$62*IF(SUM($AA$48:$AA$56)-AA51=0,1,AA51/SUM($AA$48:$AA$56)),0))</f>
        <v>18000</v>
      </c>
      <c r="K68" s="156"/>
      <c r="L68" s="156"/>
      <c r="M68" s="156">
        <f>IF(V25="被保険者",E68*C$8*AA51/12+E$8*(10-M$62)*AA51/12/IF(Y51&lt;=5,20,10),0)+IF(V25="被保険者",ROUND($G$62*IF(SUM($AA$48:$AA$56)-AA51=0,1,AA51/SUM($AA$48:$AA$56)),0))</f>
        <v>6900</v>
      </c>
      <c r="N68" s="156"/>
      <c r="O68" s="156"/>
      <c r="P68" s="156">
        <f>IF(V25="被保険者",IF(AND(AO51&gt;=1),(E68*C$9*AO51/12)+E$9*(10-M$62)*AO51/12/10+J$62*AO51/SUM($AO$48:$AO$56),0),0)</f>
        <v>0</v>
      </c>
      <c r="Q68" s="156"/>
      <c r="R68" s="156"/>
      <c r="S68" s="157">
        <f t="shared" si="22"/>
        <v>24900</v>
      </c>
      <c r="T68" s="158"/>
      <c r="U68" s="158"/>
      <c r="V68" s="159"/>
    </row>
    <row r="69" spans="2:35" ht="31.5" customHeight="1" x14ac:dyDescent="0.45">
      <c r="B69" s="63" t="s">
        <v>17</v>
      </c>
      <c r="C69" s="160">
        <f>C26</f>
        <v>0</v>
      </c>
      <c r="D69" s="161"/>
      <c r="E69" s="153">
        <f>IF(V28="被保険者",IF((N52+T52+AC52+AD52+AE52)&gt;=430000,(N52+T52+AC52+AD52+AE52)-430000,0),0)</f>
        <v>0</v>
      </c>
      <c r="F69" s="154"/>
      <c r="G69" s="154"/>
      <c r="H69" s="154"/>
      <c r="I69" s="155"/>
      <c r="J69" s="156">
        <f>IF(V28="被保険者",E69*C$7*AA52/12+E$7*(10-M$62)*AA52/12/IF(Y52&lt;=5,20,10),0)+IF(V28="被保険者",ROUND($D$62*IF(SUM($AA$48:$AA$56)-AA52=0,1,AA52/SUM($AA$48:$AA$56)),0))</f>
        <v>0</v>
      </c>
      <c r="K69" s="156"/>
      <c r="L69" s="156"/>
      <c r="M69" s="156">
        <f>IF(V28="被保険者",E69*C$8*AA52/12+E$8*(10-M$62)*AA52/12/IF(Y52&lt;=5,20,10),0)+IF(V28="被保険者",ROUND($G$62*IF(SUM($AA$48:$AA$56)-AA52=0,1,AA52/SUM($AA$48:$AA$56)),0))</f>
        <v>0</v>
      </c>
      <c r="N69" s="156"/>
      <c r="O69" s="156"/>
      <c r="P69" s="156">
        <f>IF(V28="被保険者",IF(AND(AO52&gt;=1),(E69*C$9*AO52/12)+E$9*(10-M$62)*AO52/12/10+J$62*AO52/SUM($AO$48:$AO$56),0),0)</f>
        <v>0</v>
      </c>
      <c r="Q69" s="156"/>
      <c r="R69" s="156"/>
      <c r="S69" s="157">
        <f t="shared" si="22"/>
        <v>0</v>
      </c>
      <c r="T69" s="158"/>
      <c r="U69" s="158"/>
      <c r="V69" s="159"/>
    </row>
    <row r="70" spans="2:35" ht="31.5" customHeight="1" x14ac:dyDescent="0.45">
      <c r="B70" s="63" t="s">
        <v>18</v>
      </c>
      <c r="C70" s="162">
        <f>C29</f>
        <v>0</v>
      </c>
      <c r="D70" s="163"/>
      <c r="E70" s="153">
        <f>IF(V31="被保険者",IF((N53+T53+AC53+AD53+AE53)&gt;=430000,(N53+T53+AC53+AD53+AE53)-430000,0),0)</f>
        <v>0</v>
      </c>
      <c r="F70" s="154"/>
      <c r="G70" s="154"/>
      <c r="H70" s="154"/>
      <c r="I70" s="155"/>
      <c r="J70" s="156">
        <f>IF(V31="被保険者",E70*C$7*AA53/12+E$7*(10-M$62)*AA53/12/IF(Y53&lt;=5,20,10),0)+IF(V31="被保険者",ROUND($D$62*IF(SUM($AA$48:$AA$56)-AA53=0,1,AA53/SUM($AA$48:$AA$56)),0))</f>
        <v>0</v>
      </c>
      <c r="K70" s="156"/>
      <c r="L70" s="156"/>
      <c r="M70" s="156">
        <f>IF(V31="被保険者",E70*C$8*AA53/12+E$8*(10-M$62)*AA53/12/IF(Y53&lt;=5,20,10),0)+IF(V31="被保険者",ROUND($G$62*IF(SUM($AA$48:$AA$56)-AA53=0,1,AA53/SUM($AA$48:$AA$56)),0))</f>
        <v>0</v>
      </c>
      <c r="N70" s="156"/>
      <c r="O70" s="156"/>
      <c r="P70" s="156">
        <f>IF(V31="被保険者",IF(AND(AO53&gt;=1),(E70*C$9*AO53/12)+E$9*(10-M$62)*AO53/12/10+J$62*AO53/SUM($AO$48:$AO$56),0),0)</f>
        <v>0</v>
      </c>
      <c r="Q70" s="156"/>
      <c r="R70" s="156"/>
      <c r="S70" s="157">
        <f t="shared" si="22"/>
        <v>0</v>
      </c>
      <c r="T70" s="158"/>
      <c r="U70" s="158"/>
      <c r="V70" s="159"/>
    </row>
    <row r="71" spans="2:35" ht="31.5" customHeight="1" x14ac:dyDescent="0.45">
      <c r="B71" s="63" t="s">
        <v>19</v>
      </c>
      <c r="C71" s="160">
        <f>C32</f>
        <v>0</v>
      </c>
      <c r="D71" s="161"/>
      <c r="E71" s="153">
        <f>IF(V34="被保険者",IF((N54+T54+AC54+AD54+AE54)&gt;=430000,(N54+T54+AC54+AD54+AE54)-430000,0),0)</f>
        <v>0</v>
      </c>
      <c r="F71" s="154"/>
      <c r="G71" s="154"/>
      <c r="H71" s="154"/>
      <c r="I71" s="155"/>
      <c r="J71" s="156">
        <f>IF(V34="被保険者",E71*C$7*AA54/12+E$7*(10-M$62)*AA54/12/IF(Y54&lt;=5,20,10),0)+IF(V34="被保険者",ROUND($D$62*IF(SUM($AA$48:$AA$56)-AA54=0,1,AA54/SUM($AA$48:$AA$56)),0))</f>
        <v>0</v>
      </c>
      <c r="K71" s="156"/>
      <c r="L71" s="156"/>
      <c r="M71" s="156">
        <f>IF(V34="被保険者",E71*C$8*AA54/12+E$8*(10-M$62)*AA54/12/IF(Y54&lt;=5,20,10),0)+IF(V34="被保険者",ROUND($G$62*IF(SUM($AA$48:$AA$56)-AA54=0,1,AA54/SUM($AA$48:$AA$56)),0))</f>
        <v>0</v>
      </c>
      <c r="N71" s="156"/>
      <c r="O71" s="156"/>
      <c r="P71" s="156">
        <f>IF(V34="被保険者",IF(AND(AO54&gt;=1),(E71*C$9*AO54/12)+E$9*(10-M$62)*AO54/12/10+J$62*AO54/SUM($AO$48:$AO$56),0),0)</f>
        <v>0</v>
      </c>
      <c r="Q71" s="156"/>
      <c r="R71" s="156"/>
      <c r="S71" s="157">
        <f t="shared" si="22"/>
        <v>0</v>
      </c>
      <c r="T71" s="158"/>
      <c r="U71" s="158"/>
      <c r="V71" s="159"/>
    </row>
    <row r="72" spans="2:35" ht="31.5" customHeight="1" x14ac:dyDescent="0.45">
      <c r="B72" s="63" t="s">
        <v>20</v>
      </c>
      <c r="C72" s="151">
        <f>C35</f>
        <v>0</v>
      </c>
      <c r="D72" s="152"/>
      <c r="E72" s="153">
        <f>IF(V37="被保険者",IF((N55+T55+AC55+AD55+AE55)&gt;=430000,(N55+T55+AC55+AD55+AE55)-430000,0),0)</f>
        <v>0</v>
      </c>
      <c r="F72" s="154"/>
      <c r="G72" s="154"/>
      <c r="H72" s="154"/>
      <c r="I72" s="155"/>
      <c r="J72" s="156">
        <f>IF(V37="被保険者",E72*C$7*AA55/12+E$7*(10-M$62)*AA55/12/IF(Y55&lt;=5,20,10),0)+IF(V37="被保険者",ROUND($D$62*IF(SUM($AA$48:$AA$56)-AA55=0,1,AA55/SUM($AA$48:$AA$56)),0))</f>
        <v>0</v>
      </c>
      <c r="K72" s="156"/>
      <c r="L72" s="156"/>
      <c r="M72" s="156">
        <f>IF(V37="被保険者",E72*C$8*AA55/12+E$8*(10-M$62)*AA55/12/IF(Y55&lt;=5,20,10),0)+IF(V37="被保険者",ROUND($G$62*IF(SUM($AA$48:$AA$56)-AA55=0,1,AA55/SUM($AA$48:$AA$56)),0))</f>
        <v>0</v>
      </c>
      <c r="N72" s="156"/>
      <c r="O72" s="156"/>
      <c r="P72" s="156">
        <f>IF(V37="被保険者",IF(AND(AO55&gt;=1),(E72*C$9*AO55/12)+E$9*(10-M$62)*AO55/12/10+J$62*AO55/SUM($AO$48:$AO$56),0),0)</f>
        <v>0</v>
      </c>
      <c r="Q72" s="156"/>
      <c r="R72" s="156"/>
      <c r="S72" s="157">
        <f t="shared" si="22"/>
        <v>0</v>
      </c>
      <c r="T72" s="158"/>
      <c r="U72" s="158"/>
      <c r="V72" s="159"/>
    </row>
    <row r="73" spans="2:35" ht="31.5" customHeight="1" thickBot="1" x14ac:dyDescent="0.5">
      <c r="B73" s="64" t="s">
        <v>21</v>
      </c>
      <c r="C73" s="142">
        <f>C38</f>
        <v>0</v>
      </c>
      <c r="D73" s="143"/>
      <c r="E73" s="144">
        <f>IF(S40="被保険者",IF((N56+T56+AC56+AD56+AE56)&gt;=430000,(N56+T56+AC56+AD56+AE56)-430000,0),0)</f>
        <v>0</v>
      </c>
      <c r="F73" s="145"/>
      <c r="G73" s="145"/>
      <c r="H73" s="145"/>
      <c r="I73" s="146"/>
      <c r="J73" s="147">
        <f>IF(S40="被保険者",E73*C$7*AA56/12+E$7*(10-M$62)*AA56/12/IF(Y56&lt;=5,20,10),0)+IF(S40="被保険者",ROUND($D$62*IF(SUM($AA$48:$AA$56)-AA56=0,1,AA56/SUM($AA$48:$AA$56)),0))</f>
        <v>0</v>
      </c>
      <c r="K73" s="147"/>
      <c r="L73" s="147"/>
      <c r="M73" s="147">
        <f>IF(S40="被保険者",E73*C$8*AA56/12+E$8*(10-M$62)*AA56/12/IF(Y56&lt;=5,20,10),0)+IF(S40="被保険者",ROUND($G$62*IF(SUM($AA$48:$AA$56)-AA56=0,1,AA56/SUM($AA$48:$AA$56)),0))</f>
        <v>0</v>
      </c>
      <c r="N73" s="147"/>
      <c r="O73" s="147"/>
      <c r="P73" s="147">
        <f>IF(S40="被保険者",IF(AND(AO56&gt;=1),(E73*C$9*AO56/12)+E$9*(10-M$62)*AO56/12/10+J$62*AO56/SUM($AO$48:$AO$56),0),0)</f>
        <v>0</v>
      </c>
      <c r="Q73" s="147"/>
      <c r="R73" s="147"/>
      <c r="S73" s="148">
        <f t="shared" si="22"/>
        <v>0</v>
      </c>
      <c r="T73" s="149"/>
      <c r="U73" s="149"/>
      <c r="V73" s="150"/>
    </row>
    <row r="74" spans="2:35" s="58" customFormat="1" ht="25.5" customHeight="1" x14ac:dyDescent="0.45">
      <c r="B74" s="79" t="s">
        <v>35</v>
      </c>
      <c r="C74" s="59"/>
      <c r="D74" s="59"/>
      <c r="E74" s="60"/>
      <c r="F74" s="60"/>
      <c r="G74" s="60"/>
      <c r="H74" s="60"/>
      <c r="I74" s="60"/>
      <c r="J74" s="60"/>
      <c r="K74" s="60"/>
      <c r="L74" s="60"/>
      <c r="M74" s="60"/>
      <c r="N74" s="60"/>
      <c r="O74" s="60"/>
      <c r="P74" s="60"/>
      <c r="Q74" s="60"/>
      <c r="S74" s="61"/>
      <c r="T74" s="61"/>
      <c r="AI74" s="61"/>
    </row>
    <row r="75" spans="2:35" ht="15" customHeight="1" x14ac:dyDescent="0.45">
      <c r="M75" s="12"/>
      <c r="N75" s="12"/>
      <c r="O75" s="12"/>
      <c r="P75" s="12"/>
      <c r="Q75" s="12"/>
    </row>
    <row r="76" spans="2:35" ht="22.8" thickBot="1" x14ac:dyDescent="0.5">
      <c r="B76" s="11" t="s">
        <v>32</v>
      </c>
    </row>
    <row r="77" spans="2:35" ht="34.5" customHeight="1" x14ac:dyDescent="0.45">
      <c r="B77" s="130" t="s">
        <v>5</v>
      </c>
      <c r="C77" s="131"/>
      <c r="D77" s="131"/>
      <c r="E77" s="132"/>
      <c r="F77" s="133" t="s">
        <v>84</v>
      </c>
      <c r="G77" s="131"/>
      <c r="H77" s="131"/>
      <c r="I77" s="131"/>
      <c r="J77" s="132"/>
      <c r="K77" s="133" t="s">
        <v>7</v>
      </c>
      <c r="L77" s="131"/>
      <c r="M77" s="131"/>
      <c r="N77" s="131"/>
      <c r="O77" s="132"/>
      <c r="P77" s="133" t="s">
        <v>31</v>
      </c>
      <c r="Q77" s="131"/>
      <c r="R77" s="131"/>
      <c r="S77" s="131"/>
      <c r="T77" s="131"/>
      <c r="U77" s="131"/>
      <c r="V77" s="134"/>
    </row>
    <row r="78" spans="2:35" ht="45" customHeight="1" thickBot="1" x14ac:dyDescent="0.5">
      <c r="B78" s="135">
        <f>MIN(ROUNDDOWN(SUM(J65:L73),-2),I7)</f>
        <v>460100</v>
      </c>
      <c r="C78" s="136"/>
      <c r="D78" s="136"/>
      <c r="E78" s="137"/>
      <c r="F78" s="138">
        <f>MIN(ROUNDDOWN(SUM(M65:O73),-2),I8)</f>
        <v>182900</v>
      </c>
      <c r="G78" s="136"/>
      <c r="H78" s="136"/>
      <c r="I78" s="136"/>
      <c r="J78" s="137"/>
      <c r="K78" s="138">
        <f>MIN(ROUNDDOWN(SUM(P65:R73),-2),I9)</f>
        <v>16500</v>
      </c>
      <c r="L78" s="136"/>
      <c r="M78" s="136"/>
      <c r="N78" s="136"/>
      <c r="O78" s="137"/>
      <c r="P78" s="139">
        <f>SUM(B78:O78)</f>
        <v>659500</v>
      </c>
      <c r="Q78" s="140"/>
      <c r="R78" s="140"/>
      <c r="S78" s="140"/>
      <c r="T78" s="140"/>
      <c r="U78" s="140"/>
      <c r="V78" s="141"/>
    </row>
    <row r="79" spans="2:35" ht="25.5" customHeight="1" x14ac:dyDescent="0.45">
      <c r="B79" s="128" t="s">
        <v>85</v>
      </c>
      <c r="C79" s="128"/>
      <c r="D79" s="128"/>
      <c r="E79" s="128"/>
      <c r="F79" s="128"/>
      <c r="G79" s="128"/>
      <c r="H79" s="128"/>
      <c r="I79" s="128"/>
      <c r="J79" s="128"/>
      <c r="K79" s="128"/>
      <c r="L79" s="128"/>
      <c r="M79" s="128"/>
      <c r="N79" s="128"/>
      <c r="O79" s="128"/>
      <c r="P79" s="128"/>
      <c r="Q79" s="128"/>
      <c r="R79" s="128"/>
      <c r="S79" s="128"/>
      <c r="T79" s="128"/>
      <c r="U79" s="128"/>
      <c r="V79" s="128"/>
    </row>
    <row r="80" spans="2:35" ht="25.5" customHeight="1" x14ac:dyDescent="0.45">
      <c r="B80" s="129" t="s">
        <v>101</v>
      </c>
      <c r="C80" s="129"/>
      <c r="D80" s="129"/>
      <c r="E80" s="129"/>
      <c r="F80" s="129"/>
      <c r="G80" s="129"/>
      <c r="H80" s="129"/>
      <c r="I80" s="129"/>
      <c r="J80" s="129"/>
      <c r="K80" s="129"/>
      <c r="L80" s="129"/>
      <c r="M80" s="129"/>
      <c r="N80" s="129"/>
      <c r="O80" s="129"/>
      <c r="P80" s="129"/>
      <c r="Q80" s="129"/>
      <c r="R80" s="129"/>
      <c r="S80" s="129"/>
      <c r="T80" s="129"/>
      <c r="U80" s="129"/>
      <c r="V80" s="129"/>
    </row>
    <row r="81" spans="2:10" ht="16.5" customHeight="1" x14ac:dyDescent="0.45">
      <c r="B81" s="62"/>
      <c r="C81" s="62"/>
      <c r="D81" s="62"/>
      <c r="E81" s="62"/>
      <c r="F81" s="62"/>
      <c r="G81" s="62"/>
      <c r="H81" s="62"/>
      <c r="I81" s="62"/>
      <c r="J81" s="62"/>
    </row>
  </sheetData>
  <protectedRanges>
    <protectedRange sqref="G45:T45 E45 AJ42:AW45 N48 O49:P57 P48 E48:E57 I48:J57 L48:M57 E14:E41 C48:C57 C45 C14:C41 F41 R48:S57 T57 V57:AL57 G41:X41 F44:U44 F20 U48:Z56 V14:X23 AB48:AJ56 S14:U17 F26:X26 S38:X38 S35:X35 S36:X37 S32:X32 S33:X34 S29:X29 S30:X31 S27:X28 S24:X25 F14:R14 F17:R17 G20:U20 F23:U23 S18:U19 S21:U21 S22:U22 S39:X40" name="範囲1"/>
    <protectedRange sqref="G42:T43" name="範囲1_1"/>
    <protectedRange sqref="F16 G15:R16" name="範囲1_2"/>
    <protectedRange sqref="F19 G18:R19" name="範囲1_3"/>
    <protectedRange sqref="G21:R21 F22:R22" name="範囲1_4"/>
    <protectedRange sqref="F25:R25 G24:R24" name="範囲1_5"/>
    <protectedRange sqref="F31 F34 F37 F40 F38:R38 F35:R35 G36:R37 F32:R32 G33:R34 G30:R31 F28:R29 G27:R27 G39:R40" name="範囲1_6"/>
    <protectedRange sqref="AK48:AL56" name="範囲1_7"/>
  </protectedRanges>
  <mergeCells count="226">
    <mergeCell ref="B3:V3"/>
    <mergeCell ref="B4:V4"/>
    <mergeCell ref="C6:D6"/>
    <mergeCell ref="E6:F6"/>
    <mergeCell ref="G6:H6"/>
    <mergeCell ref="I6:J6"/>
    <mergeCell ref="C9:D9"/>
    <mergeCell ref="E9:F9"/>
    <mergeCell ref="G9:H9"/>
    <mergeCell ref="I9:J9"/>
    <mergeCell ref="B11:V11"/>
    <mergeCell ref="C13:D13"/>
    <mergeCell ref="T13:U13"/>
    <mergeCell ref="C7:D7"/>
    <mergeCell ref="E7:F7"/>
    <mergeCell ref="G7:H7"/>
    <mergeCell ref="I7:J7"/>
    <mergeCell ref="C8:D8"/>
    <mergeCell ref="E8:F8"/>
    <mergeCell ref="G8:H8"/>
    <mergeCell ref="I8:J8"/>
    <mergeCell ref="B20:B22"/>
    <mergeCell ref="C20:D22"/>
    <mergeCell ref="E20:E22"/>
    <mergeCell ref="T20:U20"/>
    <mergeCell ref="B23:B25"/>
    <mergeCell ref="C23:D25"/>
    <mergeCell ref="E23:E25"/>
    <mergeCell ref="T23:U23"/>
    <mergeCell ref="B14:B16"/>
    <mergeCell ref="C14:D16"/>
    <mergeCell ref="E14:E16"/>
    <mergeCell ref="T14:U14"/>
    <mergeCell ref="B17:B19"/>
    <mergeCell ref="C17:D19"/>
    <mergeCell ref="E17:E19"/>
    <mergeCell ref="T17:U17"/>
    <mergeCell ref="B32:B34"/>
    <mergeCell ref="C32:D34"/>
    <mergeCell ref="E32:E34"/>
    <mergeCell ref="T32:U32"/>
    <mergeCell ref="B35:B37"/>
    <mergeCell ref="C35:D37"/>
    <mergeCell ref="E35:E37"/>
    <mergeCell ref="T35:U35"/>
    <mergeCell ref="B26:B28"/>
    <mergeCell ref="C26:D28"/>
    <mergeCell ref="E26:E28"/>
    <mergeCell ref="T26:U26"/>
    <mergeCell ref="B29:B31"/>
    <mergeCell ref="C29:D31"/>
    <mergeCell ref="E29:E31"/>
    <mergeCell ref="T29:U29"/>
    <mergeCell ref="B38:B40"/>
    <mergeCell ref="C38:D40"/>
    <mergeCell ref="E38:E40"/>
    <mergeCell ref="T38:U38"/>
    <mergeCell ref="C41:E41"/>
    <mergeCell ref="U41:V44"/>
    <mergeCell ref="C42:E42"/>
    <mergeCell ref="C43:E43"/>
    <mergeCell ref="C44:E44"/>
    <mergeCell ref="T47:V47"/>
    <mergeCell ref="C48:D48"/>
    <mergeCell ref="E48:G48"/>
    <mergeCell ref="H48:J48"/>
    <mergeCell ref="K48:M48"/>
    <mergeCell ref="N48:P48"/>
    <mergeCell ref="Q48:S48"/>
    <mergeCell ref="T48:V48"/>
    <mergeCell ref="C47:D47"/>
    <mergeCell ref="E47:G47"/>
    <mergeCell ref="H47:J47"/>
    <mergeCell ref="K47:M47"/>
    <mergeCell ref="N47:P47"/>
    <mergeCell ref="Q47:S47"/>
    <mergeCell ref="E50:G50"/>
    <mergeCell ref="H50:J50"/>
    <mergeCell ref="K50:M50"/>
    <mergeCell ref="N50:P50"/>
    <mergeCell ref="Q50:S50"/>
    <mergeCell ref="T50:V50"/>
    <mergeCell ref="AS48:AS56"/>
    <mergeCell ref="AT48:AT56"/>
    <mergeCell ref="C49:D49"/>
    <mergeCell ref="E49:G49"/>
    <mergeCell ref="H49:J49"/>
    <mergeCell ref="K49:M49"/>
    <mergeCell ref="N49:P49"/>
    <mergeCell ref="Q49:S49"/>
    <mergeCell ref="T49:V49"/>
    <mergeCell ref="C50:D50"/>
    <mergeCell ref="T51:V51"/>
    <mergeCell ref="C52:D52"/>
    <mergeCell ref="E52:G52"/>
    <mergeCell ref="H52:J52"/>
    <mergeCell ref="K52:M52"/>
    <mergeCell ref="N52:P52"/>
    <mergeCell ref="Q52:S52"/>
    <mergeCell ref="T52:V52"/>
    <mergeCell ref="C51:D51"/>
    <mergeCell ref="E51:G51"/>
    <mergeCell ref="H51:J51"/>
    <mergeCell ref="K51:M51"/>
    <mergeCell ref="N51:P51"/>
    <mergeCell ref="Q51:S51"/>
    <mergeCell ref="T53:V53"/>
    <mergeCell ref="C54:D54"/>
    <mergeCell ref="E54:G54"/>
    <mergeCell ref="H54:J54"/>
    <mergeCell ref="K54:M54"/>
    <mergeCell ref="N54:P54"/>
    <mergeCell ref="Q54:S54"/>
    <mergeCell ref="T54:V54"/>
    <mergeCell ref="C53:D53"/>
    <mergeCell ref="E53:G53"/>
    <mergeCell ref="H53:J53"/>
    <mergeCell ref="K53:M53"/>
    <mergeCell ref="N53:P53"/>
    <mergeCell ref="Q53:S53"/>
    <mergeCell ref="T55:V55"/>
    <mergeCell ref="C56:D56"/>
    <mergeCell ref="E56:G56"/>
    <mergeCell ref="H56:J56"/>
    <mergeCell ref="K56:M56"/>
    <mergeCell ref="N56:P56"/>
    <mergeCell ref="Q56:S56"/>
    <mergeCell ref="T56:V56"/>
    <mergeCell ref="C55:D55"/>
    <mergeCell ref="E55:G55"/>
    <mergeCell ref="H55:J55"/>
    <mergeCell ref="K55:M55"/>
    <mergeCell ref="N55:P55"/>
    <mergeCell ref="Q55:S55"/>
    <mergeCell ref="B58:V58"/>
    <mergeCell ref="B60:C60"/>
    <mergeCell ref="D60:L60"/>
    <mergeCell ref="M60:V60"/>
    <mergeCell ref="B61:C61"/>
    <mergeCell ref="D61:F61"/>
    <mergeCell ref="G61:I61"/>
    <mergeCell ref="J61:L61"/>
    <mergeCell ref="M61:O61"/>
    <mergeCell ref="P61:Q63"/>
    <mergeCell ref="R61:S61"/>
    <mergeCell ref="U61:V61"/>
    <mergeCell ref="B62:C62"/>
    <mergeCell ref="D62:F63"/>
    <mergeCell ref="G62:I63"/>
    <mergeCell ref="J62:L63"/>
    <mergeCell ref="M62:O62"/>
    <mergeCell ref="R62:S63"/>
    <mergeCell ref="U62:V62"/>
    <mergeCell ref="B63:C63"/>
    <mergeCell ref="C65:D65"/>
    <mergeCell ref="E65:I65"/>
    <mergeCell ref="J65:L65"/>
    <mergeCell ref="M65:O65"/>
    <mergeCell ref="P65:R65"/>
    <mergeCell ref="S65:V65"/>
    <mergeCell ref="M63:O63"/>
    <mergeCell ref="U63:V63"/>
    <mergeCell ref="C64:D64"/>
    <mergeCell ref="E64:I64"/>
    <mergeCell ref="J64:L64"/>
    <mergeCell ref="M64:O64"/>
    <mergeCell ref="P64:R64"/>
    <mergeCell ref="S64:V64"/>
    <mergeCell ref="C67:D67"/>
    <mergeCell ref="E67:I67"/>
    <mergeCell ref="J67:L67"/>
    <mergeCell ref="M67:O67"/>
    <mergeCell ref="P67:R67"/>
    <mergeCell ref="S67:V67"/>
    <mergeCell ref="C66:D66"/>
    <mergeCell ref="E66:I66"/>
    <mergeCell ref="J66:L66"/>
    <mergeCell ref="M66:O66"/>
    <mergeCell ref="P66:R66"/>
    <mergeCell ref="S66:V66"/>
    <mergeCell ref="C69:D69"/>
    <mergeCell ref="E69:I69"/>
    <mergeCell ref="J69:L69"/>
    <mergeCell ref="M69:O69"/>
    <mergeCell ref="P69:R69"/>
    <mergeCell ref="S69:V69"/>
    <mergeCell ref="C68:D68"/>
    <mergeCell ref="E68:I68"/>
    <mergeCell ref="J68:L68"/>
    <mergeCell ref="M68:O68"/>
    <mergeCell ref="P68:R68"/>
    <mergeCell ref="S68:V68"/>
    <mergeCell ref="C71:D71"/>
    <mergeCell ref="E71:I71"/>
    <mergeCell ref="J71:L71"/>
    <mergeCell ref="M71:O71"/>
    <mergeCell ref="P71:R71"/>
    <mergeCell ref="S71:V71"/>
    <mergeCell ref="C70:D70"/>
    <mergeCell ref="E70:I70"/>
    <mergeCell ref="J70:L70"/>
    <mergeCell ref="M70:O70"/>
    <mergeCell ref="P70:R70"/>
    <mergeCell ref="S70:V70"/>
    <mergeCell ref="C73:D73"/>
    <mergeCell ref="E73:I73"/>
    <mergeCell ref="J73:L73"/>
    <mergeCell ref="M73:O73"/>
    <mergeCell ref="P73:R73"/>
    <mergeCell ref="S73:V73"/>
    <mergeCell ref="C72:D72"/>
    <mergeCell ref="E72:I72"/>
    <mergeCell ref="J72:L72"/>
    <mergeCell ref="M72:O72"/>
    <mergeCell ref="P72:R72"/>
    <mergeCell ref="S72:V72"/>
    <mergeCell ref="B79:V79"/>
    <mergeCell ref="B80:V80"/>
    <mergeCell ref="B77:E77"/>
    <mergeCell ref="F77:J77"/>
    <mergeCell ref="K77:O77"/>
    <mergeCell ref="P77:V77"/>
    <mergeCell ref="B78:E78"/>
    <mergeCell ref="F78:J78"/>
    <mergeCell ref="K78:O78"/>
    <mergeCell ref="P78:V78"/>
  </mergeCells>
  <phoneticPr fontId="2"/>
  <conditionalFormatting sqref="F14:R14 F17:R17 F20:R20 F23:R23 F26:R26">
    <cfRule type="cellIs" dxfId="27" priority="21" operator="equal">
      <formula>"（特）後期"</formula>
    </cfRule>
    <cfRule type="cellIs" dxfId="26" priority="22" operator="equal">
      <formula>"後期"</formula>
    </cfRule>
    <cfRule type="cellIs" dxfId="25" priority="23" operator="equal">
      <formula>"国保"</formula>
    </cfRule>
    <cfRule type="cellIs" dxfId="24" priority="24" operator="equal">
      <formula>"社保"</formula>
    </cfRule>
  </conditionalFormatting>
  <conditionalFormatting sqref="F15:R16">
    <cfRule type="cellIs" dxfId="19" priority="17" operator="equal">
      <formula>"（特）後期"</formula>
    </cfRule>
    <cfRule type="cellIs" dxfId="18" priority="18" operator="equal">
      <formula>"後期"</formula>
    </cfRule>
    <cfRule type="cellIs" dxfId="17" priority="19" operator="equal">
      <formula>"国保"</formula>
    </cfRule>
    <cfRule type="cellIs" dxfId="16" priority="20" operator="equal">
      <formula>"社保"</formula>
    </cfRule>
  </conditionalFormatting>
  <conditionalFormatting sqref="F18:R19">
    <cfRule type="cellIs" dxfId="15" priority="13" operator="equal">
      <formula>"（特）後期"</formula>
    </cfRule>
    <cfRule type="cellIs" dxfId="14" priority="14" operator="equal">
      <formula>"後期"</formula>
    </cfRule>
    <cfRule type="cellIs" dxfId="13" priority="15" operator="equal">
      <formula>"国保"</formula>
    </cfRule>
    <cfRule type="cellIs" dxfId="12" priority="16" operator="equal">
      <formula>"社保"</formula>
    </cfRule>
  </conditionalFormatting>
  <conditionalFormatting sqref="F21:R22">
    <cfRule type="cellIs" dxfId="11" priority="9" operator="equal">
      <formula>"（特）後期"</formula>
    </cfRule>
    <cfRule type="cellIs" dxfId="10" priority="10" operator="equal">
      <formula>"後期"</formula>
    </cfRule>
    <cfRule type="cellIs" dxfId="9" priority="11" operator="equal">
      <formula>"国保"</formula>
    </cfRule>
    <cfRule type="cellIs" dxfId="8" priority="12" operator="equal">
      <formula>"社保"</formula>
    </cfRule>
  </conditionalFormatting>
  <conditionalFormatting sqref="F24:R25">
    <cfRule type="cellIs" dxfId="7" priority="5" operator="equal">
      <formula>"（特）後期"</formula>
    </cfRule>
    <cfRule type="cellIs" dxfId="6" priority="6" operator="equal">
      <formula>"後期"</formula>
    </cfRule>
    <cfRule type="cellIs" dxfId="5" priority="7" operator="equal">
      <formula>"国保"</formula>
    </cfRule>
    <cfRule type="cellIs" dxfId="4" priority="8" operator="equal">
      <formula>"社保"</formula>
    </cfRule>
  </conditionalFormatting>
  <conditionalFormatting sqref="F27:R38">
    <cfRule type="cellIs" dxfId="3" priority="1" operator="equal">
      <formula>"（特）後期"</formula>
    </cfRule>
    <cfRule type="cellIs" dxfId="2" priority="2" operator="equal">
      <formula>"後期"</formula>
    </cfRule>
    <cfRule type="cellIs" dxfId="1" priority="3" operator="equal">
      <formula>"国保"</formula>
    </cfRule>
    <cfRule type="cellIs" dxfId="0" priority="4" operator="equal">
      <formula>"社保"</formula>
    </cfRule>
  </conditionalFormatting>
  <dataValidations count="8">
    <dataValidation type="whole" imeMode="halfAlpha" operator="greaterThanOrEqual" allowBlank="1" showInputMessage="1" showErrorMessage="1" sqref="E48:V56" xr:uid="{BF7F659F-9482-45C7-9DF6-185CC8D8B9E2}">
      <formula1>0</formula1>
    </dataValidation>
    <dataValidation imeMode="halfAlpha" allowBlank="1" showInputMessage="1" showErrorMessage="1" sqref="E14:E40" xr:uid="{9670BA91-0A6B-411B-AE38-257B9009EF9C}"/>
    <dataValidation imeMode="hiragana" allowBlank="1" showInputMessage="1" showErrorMessage="1" sqref="C14:D40" xr:uid="{5C1A6F17-9CB2-48C0-9CBF-1DD4E77561FB}"/>
    <dataValidation type="list" allowBlank="1" showInputMessage="1" showErrorMessage="1" sqref="F23:R23 F20:R20 F26:R26 F17:R17 F38:R38 F32:R32 F29:R29 F35:R35" xr:uid="{AF301B09-C6E6-4149-A8C5-010A7E48AF9C}">
      <formula1>"国保,（特）後期"</formula1>
    </dataValidation>
    <dataValidation type="list" allowBlank="1" showInputMessage="1" showErrorMessage="1" sqref="S17 S20 S23 S26 S29 S32 S35 S38" xr:uid="{5424B932-E0BC-4024-953D-6505FBD481EF}">
      <formula1>"○"</formula1>
    </dataValidation>
    <dataValidation type="list" allowBlank="1" showInputMessage="1" showErrorMessage="1" errorTitle="後期高齢者のため入力できません" sqref="F14:R14" xr:uid="{4DFE6CCC-0CB6-4BE9-B137-566C75529272}">
      <formula1>"国保,社保,後期,（特）後期"</formula1>
    </dataValidation>
    <dataValidation type="whole" operator="greaterThanOrEqual" allowBlank="1" showInputMessage="1" showErrorMessage="1" sqref="E57" xr:uid="{D82562F5-0424-4719-911F-E51588471E5B}">
      <formula1>0</formula1>
    </dataValidation>
    <dataValidation type="list" allowBlank="1" showInputMessage="1" showErrorMessage="1" sqref="T17 T38 T20 T23 T26 T29 T32 T35 T14" xr:uid="{CECBB70C-642B-4145-8732-FD9727E9460F}">
      <formula1>"11,12,21,22,23,31,32,33,34"</formula1>
    </dataValidation>
  </dataValidations>
  <pageMargins left="0.39370078740157483" right="0.39370078740157483" top="0.39370078740157483" bottom="0.39370078740157483" header="0.31496062992125984" footer="0.31496062992125984"/>
  <pageSetup paperSize="8" scale="69" fitToHeight="0" orientation="portrait" r:id="rId1"/>
  <colBreaks count="2" manualBreakCount="2">
    <brk id="24" max="1048575" man="1"/>
    <brk id="3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E80B-F1DE-4F84-B324-3C1CD57A4446}">
  <sheetPr>
    <pageSetUpPr fitToPage="1"/>
  </sheetPr>
  <dimension ref="A1:AT81"/>
  <sheetViews>
    <sheetView showZeros="0" tabSelected="1" view="pageBreakPreview" zoomScale="85" zoomScaleNormal="98" zoomScaleSheetLayoutView="85" workbookViewId="0"/>
  </sheetViews>
  <sheetFormatPr defaultColWidth="9" defaultRowHeight="16.2" x14ac:dyDescent="0.45"/>
  <cols>
    <col min="1" max="1" width="3.09765625" style="1" customWidth="1"/>
    <col min="2" max="2" width="20" style="1" customWidth="1"/>
    <col min="3" max="6" width="8.69921875" style="1" customWidth="1"/>
    <col min="7" max="18" width="7.5" style="1" customWidth="1"/>
    <col min="19" max="19" width="8" style="5" bestFit="1" customWidth="1"/>
    <col min="20" max="20" width="8" style="5" customWidth="1"/>
    <col min="21" max="22" width="7.8984375" style="1" customWidth="1"/>
    <col min="23" max="23" width="3.09765625" style="1" customWidth="1"/>
    <col min="24" max="24" width="7.69921875" style="1" customWidth="1"/>
    <col min="25" max="25" width="10.09765625" style="1" customWidth="1"/>
    <col min="26" max="26" width="15.5" style="1" customWidth="1"/>
    <col min="27" max="27" width="13.69921875" style="1" customWidth="1"/>
    <col min="28" max="29" width="21" style="1" customWidth="1"/>
    <col min="30" max="30" width="11.69921875" style="1" customWidth="1"/>
    <col min="31" max="31" width="15.5" style="1" customWidth="1"/>
    <col min="32" max="33" width="13.69921875" style="1" customWidth="1"/>
    <col min="34" max="34" width="21" style="1" customWidth="1"/>
    <col min="35" max="35" width="15.5" style="5" customWidth="1"/>
    <col min="36" max="36" width="15.5" style="1" customWidth="1"/>
    <col min="37" max="37" width="11.59765625" style="1" bestFit="1" customWidth="1"/>
    <col min="38" max="38" width="13.3984375" style="1" bestFit="1" customWidth="1"/>
    <col min="39" max="39" width="9.8984375" style="1" bestFit="1" customWidth="1"/>
    <col min="40" max="40" width="9.8984375" style="1" customWidth="1"/>
    <col min="41" max="41" width="8.19921875" style="1" bestFit="1" customWidth="1"/>
    <col min="42" max="42" width="9.8984375" style="1" bestFit="1" customWidth="1"/>
    <col min="43" max="43" width="9.8984375" style="1" customWidth="1"/>
    <col min="44" max="44" width="13.3984375" style="1" customWidth="1"/>
    <col min="45" max="45" width="11.69921875" style="1" customWidth="1"/>
    <col min="46" max="46" width="15.5" style="1" customWidth="1"/>
    <col min="47" max="16384" width="9" style="1"/>
  </cols>
  <sheetData>
    <row r="1" spans="2:46" ht="33.75" customHeight="1" thickBot="1" x14ac:dyDescent="0.5">
      <c r="B1" s="90">
        <v>2024</v>
      </c>
      <c r="L1" s="2"/>
      <c r="M1" s="2"/>
      <c r="N1" s="2"/>
      <c r="O1" s="2"/>
      <c r="P1" s="2"/>
      <c r="Q1" s="2"/>
      <c r="R1" s="2"/>
      <c r="S1" s="3"/>
      <c r="T1" s="3"/>
      <c r="U1" s="3"/>
      <c r="V1" s="3"/>
      <c r="W1" s="3"/>
      <c r="X1" s="3"/>
      <c r="Y1" s="3"/>
      <c r="Z1" s="3"/>
      <c r="AA1" s="3"/>
      <c r="AB1" s="3"/>
      <c r="AC1" s="3"/>
      <c r="AD1" s="3"/>
      <c r="AE1" s="3"/>
      <c r="AF1" s="3"/>
      <c r="AG1" s="3"/>
      <c r="AH1" s="3"/>
      <c r="AI1" s="3"/>
      <c r="AJ1" s="3"/>
      <c r="AK1" s="3"/>
    </row>
    <row r="2" spans="2:46" ht="22.8" thickBot="1" x14ac:dyDescent="0.5">
      <c r="B2" s="46"/>
      <c r="L2" s="2"/>
      <c r="M2" s="2"/>
      <c r="N2" s="2"/>
      <c r="O2" s="2"/>
      <c r="P2" s="2"/>
      <c r="Q2" s="2"/>
      <c r="R2" s="2"/>
      <c r="S2" s="3"/>
      <c r="T2" s="3"/>
      <c r="U2" s="3"/>
      <c r="V2" s="3"/>
      <c r="W2" s="3"/>
      <c r="X2" s="3"/>
      <c r="Y2" s="3"/>
      <c r="Z2" s="3"/>
      <c r="AA2" s="3"/>
      <c r="AB2" s="3"/>
      <c r="AC2" s="3"/>
      <c r="AD2" s="3"/>
      <c r="AE2" s="3"/>
      <c r="AF2" s="3"/>
      <c r="AG2" s="3"/>
      <c r="AH2" s="3"/>
      <c r="AI2" s="3"/>
      <c r="AJ2" s="3"/>
      <c r="AK2" s="3"/>
    </row>
    <row r="3" spans="2:46" ht="29.25" customHeight="1" thickBot="1" x14ac:dyDescent="0.5">
      <c r="B3" s="179" t="s">
        <v>90</v>
      </c>
      <c r="C3" s="180"/>
      <c r="D3" s="180"/>
      <c r="E3" s="180"/>
      <c r="F3" s="180"/>
      <c r="G3" s="180"/>
      <c r="H3" s="180"/>
      <c r="I3" s="180"/>
      <c r="J3" s="180"/>
      <c r="K3" s="180"/>
      <c r="L3" s="180"/>
      <c r="M3" s="180"/>
      <c r="N3" s="180"/>
      <c r="O3" s="180"/>
      <c r="P3" s="180"/>
      <c r="Q3" s="180"/>
      <c r="R3" s="180"/>
      <c r="S3" s="180"/>
      <c r="T3" s="180"/>
      <c r="U3" s="180"/>
      <c r="V3" s="180"/>
      <c r="W3" s="78"/>
      <c r="X3" s="4"/>
      <c r="Y3" s="4"/>
      <c r="Z3" s="4"/>
      <c r="AA3" s="4"/>
      <c r="AB3" s="4"/>
      <c r="AC3" s="4"/>
      <c r="AD3" s="4"/>
      <c r="AE3" s="4"/>
      <c r="AF3" s="4"/>
      <c r="AG3" s="4"/>
      <c r="AH3" s="4"/>
      <c r="AI3" s="4"/>
      <c r="AJ3" s="4"/>
      <c r="AK3" s="4"/>
    </row>
    <row r="4" spans="2:46" ht="48.75" customHeight="1" x14ac:dyDescent="0.45">
      <c r="B4" s="277" t="s">
        <v>77</v>
      </c>
      <c r="C4" s="277"/>
      <c r="D4" s="277"/>
      <c r="E4" s="277"/>
      <c r="F4" s="277"/>
      <c r="G4" s="277"/>
      <c r="H4" s="277"/>
      <c r="I4" s="277"/>
      <c r="J4" s="277"/>
      <c r="K4" s="277"/>
      <c r="L4" s="277"/>
      <c r="M4" s="277"/>
      <c r="N4" s="277"/>
      <c r="O4" s="277"/>
      <c r="P4" s="277"/>
      <c r="Q4" s="277"/>
      <c r="R4" s="277"/>
      <c r="S4" s="277"/>
      <c r="T4" s="277"/>
      <c r="U4" s="277"/>
      <c r="V4" s="277"/>
    </row>
    <row r="5" spans="2:46" ht="22.8" thickBot="1" x14ac:dyDescent="0.5">
      <c r="B5" s="11" t="s">
        <v>0</v>
      </c>
      <c r="Y5" s="13" t="s">
        <v>46</v>
      </c>
      <c r="Z5" s="5" t="s">
        <v>47</v>
      </c>
      <c r="AA5" s="19">
        <f>DATE(B1,1,1)</f>
        <v>43830</v>
      </c>
      <c r="AB5" s="14" t="s">
        <v>50</v>
      </c>
      <c r="AC5" s="19">
        <f>MIN(AP48:AP56)</f>
        <v>0</v>
      </c>
      <c r="AD5" s="13"/>
      <c r="AE5" s="13"/>
      <c r="AF5" s="13"/>
      <c r="AG5" s="13"/>
      <c r="AH5" s="13"/>
      <c r="AI5" s="13"/>
      <c r="AJ5" s="13"/>
    </row>
    <row r="6" spans="2:46" ht="25.5" customHeight="1" thickBot="1" x14ac:dyDescent="0.5">
      <c r="B6" s="47"/>
      <c r="C6" s="278" t="s">
        <v>1</v>
      </c>
      <c r="D6" s="279"/>
      <c r="E6" s="280" t="s">
        <v>2</v>
      </c>
      <c r="F6" s="281"/>
      <c r="G6" s="280" t="s">
        <v>3</v>
      </c>
      <c r="H6" s="278"/>
      <c r="I6" s="279" t="s">
        <v>4</v>
      </c>
      <c r="J6" s="282"/>
      <c r="Z6" s="5" t="s">
        <v>48</v>
      </c>
      <c r="AA6" s="19">
        <f>DATE(B1,4,1)</f>
        <v>43921</v>
      </c>
      <c r="AB6" s="14" t="s">
        <v>51</v>
      </c>
      <c r="AC6" s="19">
        <f>MIN(AQ48:AQ56)</f>
        <v>0</v>
      </c>
    </row>
    <row r="7" spans="2:46" ht="25.5" customHeight="1" x14ac:dyDescent="0.45">
      <c r="B7" s="48" t="s">
        <v>5</v>
      </c>
      <c r="C7" s="263">
        <v>7.0000000000000007E-2</v>
      </c>
      <c r="D7" s="264"/>
      <c r="E7" s="265">
        <v>24000</v>
      </c>
      <c r="F7" s="266"/>
      <c r="G7" s="265">
        <v>21200</v>
      </c>
      <c r="H7" s="267"/>
      <c r="I7" s="268">
        <v>650000</v>
      </c>
      <c r="J7" s="269"/>
      <c r="Z7" s="5" t="s">
        <v>49</v>
      </c>
      <c r="AA7" s="19">
        <f>DATE(B1+1,4,1)</f>
        <v>44286</v>
      </c>
      <c r="AB7" s="14" t="s">
        <v>52</v>
      </c>
      <c r="AC7" s="19">
        <f>MIN(AR48:AR56)</f>
        <v>0</v>
      </c>
    </row>
    <row r="8" spans="2:46" ht="25.5" customHeight="1" x14ac:dyDescent="0.45">
      <c r="B8" s="49" t="s">
        <v>6</v>
      </c>
      <c r="C8" s="270">
        <v>2.8000000000000001E-2</v>
      </c>
      <c r="D8" s="271"/>
      <c r="E8" s="272">
        <v>9200</v>
      </c>
      <c r="F8" s="273"/>
      <c r="G8" s="272">
        <v>8400</v>
      </c>
      <c r="H8" s="274"/>
      <c r="I8" s="275">
        <v>240000</v>
      </c>
      <c r="J8" s="276"/>
      <c r="Z8" s="5"/>
      <c r="AA8" s="19"/>
      <c r="AB8" s="5" t="s">
        <v>54</v>
      </c>
      <c r="AC8" s="19">
        <f>DATE(YEAR(AA7)+5,MONTH(AA7),DAY(AA7))</f>
        <v>46112</v>
      </c>
    </row>
    <row r="9" spans="2:46" ht="25.5" customHeight="1" thickBot="1" x14ac:dyDescent="0.5">
      <c r="B9" s="50" t="s">
        <v>7</v>
      </c>
      <c r="C9" s="283">
        <v>2.1999999999999999E-2</v>
      </c>
      <c r="D9" s="284"/>
      <c r="E9" s="285">
        <v>8500</v>
      </c>
      <c r="F9" s="286"/>
      <c r="G9" s="285">
        <v>8000</v>
      </c>
      <c r="H9" s="287"/>
      <c r="I9" s="288">
        <v>170000</v>
      </c>
      <c r="J9" s="289"/>
      <c r="AB9" s="5" t="s">
        <v>53</v>
      </c>
      <c r="AC9" s="19">
        <f>DATE(YEAR(AC8)+3,MONTH(AC8),DAY(AC8))</f>
        <v>47208</v>
      </c>
    </row>
    <row r="10" spans="2:46" x14ac:dyDescent="0.45">
      <c r="B10" s="5"/>
      <c r="C10" s="6"/>
      <c r="D10" s="6"/>
      <c r="E10" s="7"/>
      <c r="F10" s="7"/>
      <c r="G10" s="7"/>
      <c r="H10" s="7"/>
      <c r="I10" s="7"/>
      <c r="J10" s="7"/>
      <c r="K10" s="7"/>
      <c r="L10" s="7"/>
      <c r="M10" s="7"/>
      <c r="N10" s="7"/>
      <c r="O10" s="7"/>
      <c r="P10" s="7"/>
      <c r="Q10" s="7"/>
    </row>
    <row r="11" spans="2:46" ht="22.8" thickBot="1" x14ac:dyDescent="0.5">
      <c r="B11" s="260" t="s">
        <v>91</v>
      </c>
      <c r="C11" s="260"/>
      <c r="D11" s="260"/>
      <c r="E11" s="260"/>
      <c r="F11" s="260"/>
      <c r="G11" s="260"/>
      <c r="H11" s="260"/>
      <c r="I11" s="260"/>
      <c r="J11" s="260"/>
      <c r="K11" s="260"/>
      <c r="L11" s="260"/>
      <c r="M11" s="260"/>
      <c r="N11" s="260"/>
      <c r="O11" s="260"/>
      <c r="P11" s="260"/>
      <c r="Q11" s="260"/>
      <c r="R11" s="260"/>
      <c r="S11" s="260"/>
      <c r="T11" s="260"/>
      <c r="U11" s="260"/>
      <c r="V11" s="260"/>
      <c r="Y11" s="18"/>
      <c r="Z11" s="18"/>
      <c r="AA11" s="18"/>
      <c r="AB11" s="18"/>
      <c r="AC11" s="18"/>
      <c r="AD11" s="18"/>
      <c r="AE11" s="18"/>
      <c r="AF11" s="18"/>
      <c r="AG11" s="18"/>
      <c r="AH11" s="18"/>
      <c r="AI11" s="25"/>
      <c r="AJ11" s="18"/>
    </row>
    <row r="12" spans="2:46" ht="16.8" thickBot="1" x14ac:dyDescent="0.5">
      <c r="G12" s="124">
        <f>EOMONTH($F$13,0)</f>
        <v>43950</v>
      </c>
      <c r="H12" s="125">
        <f>EOMONTH($F$13,1)</f>
        <v>43981</v>
      </c>
      <c r="I12" s="126">
        <f>EOMONTH($F$13,2)</f>
        <v>44011</v>
      </c>
      <c r="J12" s="126">
        <f>EOMONTH($F$13,3)</f>
        <v>44042</v>
      </c>
      <c r="K12" s="126">
        <f>EOMONTH($F$13,4)</f>
        <v>44073</v>
      </c>
      <c r="L12" s="126">
        <f>EOMONTH($F$13,5)</f>
        <v>44103</v>
      </c>
      <c r="M12" s="125">
        <f>EOMONTH($F$13,6)</f>
        <v>44134</v>
      </c>
      <c r="N12" s="126">
        <f>EOMONTH($F$13,7)</f>
        <v>44164</v>
      </c>
      <c r="O12" s="126">
        <f>EOMONTH($F$13,8)</f>
        <v>44195</v>
      </c>
      <c r="P12" s="126">
        <f>EOMONTH($F$13,9)</f>
        <v>44226</v>
      </c>
      <c r="Q12" s="125">
        <f>EOMONTH($F$13,10)</f>
        <v>44254</v>
      </c>
      <c r="R12" s="127">
        <f>EOMONTH($F$13,11)</f>
        <v>44285</v>
      </c>
      <c r="AI12" s="25"/>
      <c r="AJ12" s="18"/>
      <c r="AL12" s="5"/>
      <c r="AM12" s="5"/>
      <c r="AN12" s="5"/>
      <c r="AO12" s="5"/>
      <c r="AQ12" s="5"/>
      <c r="AR12" s="5"/>
      <c r="AS12" s="5"/>
      <c r="AT12" s="5"/>
    </row>
    <row r="13" spans="2:46" ht="36.6" thickBot="1" x14ac:dyDescent="0.5">
      <c r="B13" s="51"/>
      <c r="C13" s="221" t="s">
        <v>57</v>
      </c>
      <c r="D13" s="221"/>
      <c r="E13" s="67" t="s">
        <v>88</v>
      </c>
      <c r="F13" s="52">
        <f>DATE(B1,4,1)</f>
        <v>43921</v>
      </c>
      <c r="G13" s="53" t="s">
        <v>61</v>
      </c>
      <c r="H13" s="53" t="s">
        <v>62</v>
      </c>
      <c r="I13" s="53" t="s">
        <v>63</v>
      </c>
      <c r="J13" s="53" t="s">
        <v>64</v>
      </c>
      <c r="K13" s="53" t="s">
        <v>65</v>
      </c>
      <c r="L13" s="53" t="s">
        <v>66</v>
      </c>
      <c r="M13" s="53" t="s">
        <v>67</v>
      </c>
      <c r="N13" s="53" t="s">
        <v>68</v>
      </c>
      <c r="O13" s="53" t="s">
        <v>69</v>
      </c>
      <c r="P13" s="53" t="s">
        <v>70</v>
      </c>
      <c r="Q13" s="53" t="s">
        <v>71</v>
      </c>
      <c r="R13" s="53" t="s">
        <v>72</v>
      </c>
      <c r="S13" s="77" t="s">
        <v>93</v>
      </c>
      <c r="T13" s="310" t="s">
        <v>75</v>
      </c>
      <c r="U13" s="311"/>
      <c r="V13" s="72" t="s">
        <v>87</v>
      </c>
      <c r="W13" s="68"/>
      <c r="X13" s="31"/>
    </row>
    <row r="14" spans="2:46" ht="29.25" customHeight="1" thickTop="1" x14ac:dyDescent="0.45">
      <c r="B14" s="298" t="s">
        <v>13</v>
      </c>
      <c r="C14" s="301"/>
      <c r="D14" s="301"/>
      <c r="E14" s="303"/>
      <c r="F14" s="80"/>
      <c r="G14" s="80"/>
      <c r="H14" s="80"/>
      <c r="I14" s="80"/>
      <c r="J14" s="80"/>
      <c r="K14" s="80"/>
      <c r="L14" s="80"/>
      <c r="M14" s="80"/>
      <c r="N14" s="80"/>
      <c r="O14" s="80"/>
      <c r="P14" s="80"/>
      <c r="Q14" s="80"/>
      <c r="R14" s="80"/>
      <c r="S14" s="81"/>
      <c r="T14" s="308"/>
      <c r="U14" s="309"/>
      <c r="V14" s="92">
        <f>COUNTIF(G14:R14,"国保")+COUNTIF(G14:R14,"後期")+COUNTIF(G14:R14,"社保")</f>
        <v>0</v>
      </c>
      <c r="W14" s="69"/>
      <c r="X14" s="20"/>
    </row>
    <row r="15" spans="2:46" ht="29.25" customHeight="1" x14ac:dyDescent="0.45">
      <c r="B15" s="299"/>
      <c r="C15" s="302"/>
      <c r="D15" s="302"/>
      <c r="E15" s="297"/>
      <c r="F15" s="82"/>
      <c r="G15" s="83" t="str">
        <f>IF(G14="","",IF(AND(G$12&gt;=$AM$48,G$12&lt;$AN$48),"○",""))</f>
        <v/>
      </c>
      <c r="H15" s="83" t="str">
        <f>IF(H14="","",IF(AND(H$12&gt;=$AM$48,H$12&lt;$AN$48),"○",""))</f>
        <v/>
      </c>
      <c r="I15" s="83" t="str">
        <f t="shared" ref="I15:R15" si="0">IF(I14="","",IF(AND(I$12&gt;=$AM$48,I$12&lt;$AN$48),"○",""))</f>
        <v/>
      </c>
      <c r="J15" s="83" t="str">
        <f t="shared" si="0"/>
        <v/>
      </c>
      <c r="K15" s="83" t="str">
        <f t="shared" si="0"/>
        <v/>
      </c>
      <c r="L15" s="83" t="str">
        <f t="shared" si="0"/>
        <v/>
      </c>
      <c r="M15" s="83" t="str">
        <f t="shared" si="0"/>
        <v/>
      </c>
      <c r="N15" s="83" t="str">
        <f t="shared" si="0"/>
        <v/>
      </c>
      <c r="O15" s="83" t="str">
        <f t="shared" si="0"/>
        <v/>
      </c>
      <c r="P15" s="83" t="str">
        <f t="shared" si="0"/>
        <v/>
      </c>
      <c r="Q15" s="83" t="str">
        <f t="shared" si="0"/>
        <v/>
      </c>
      <c r="R15" s="83" t="str">
        <f t="shared" si="0"/>
        <v/>
      </c>
      <c r="S15" s="84"/>
      <c r="T15" s="85"/>
      <c r="U15" s="95"/>
      <c r="V15" s="94">
        <f>COUNTIF(G15:R15,"○")</f>
        <v>0</v>
      </c>
      <c r="W15" s="69"/>
      <c r="X15" s="20"/>
    </row>
    <row r="16" spans="2:46" ht="29.25" customHeight="1" x14ac:dyDescent="0.45">
      <c r="B16" s="299"/>
      <c r="C16" s="302"/>
      <c r="D16" s="302"/>
      <c r="E16" s="297"/>
      <c r="F16" s="87"/>
      <c r="G16" s="87" t="str">
        <f>IF(G14="","",IF(G14="国保","被保","特定"))</f>
        <v/>
      </c>
      <c r="H16" s="87" t="str">
        <f t="shared" ref="H16:R16" si="1">IF(H14="","",IF(H14="国保","被保","特定"))</f>
        <v/>
      </c>
      <c r="I16" s="87" t="str">
        <f t="shared" si="1"/>
        <v/>
      </c>
      <c r="J16" s="87" t="str">
        <f t="shared" si="1"/>
        <v/>
      </c>
      <c r="K16" s="87" t="str">
        <f t="shared" si="1"/>
        <v/>
      </c>
      <c r="L16" s="87" t="str">
        <f t="shared" si="1"/>
        <v/>
      </c>
      <c r="M16" s="87" t="str">
        <f t="shared" si="1"/>
        <v/>
      </c>
      <c r="N16" s="87" t="str">
        <f t="shared" si="1"/>
        <v/>
      </c>
      <c r="O16" s="87" t="str">
        <f t="shared" si="1"/>
        <v/>
      </c>
      <c r="P16" s="87" t="str">
        <f t="shared" si="1"/>
        <v/>
      </c>
      <c r="Q16" s="87" t="str">
        <f t="shared" si="1"/>
        <v/>
      </c>
      <c r="R16" s="87" t="str">
        <f t="shared" si="1"/>
        <v/>
      </c>
      <c r="S16" s="87">
        <f>COUNTIF(G16:R16,"普主")</f>
        <v>0</v>
      </c>
      <c r="T16" s="85"/>
      <c r="U16" s="95"/>
      <c r="V16" s="94" t="str">
        <f>IF(COUNTIF(G14:R14,"国保")&gt;=1,"被保険者","")</f>
        <v/>
      </c>
      <c r="W16" s="69"/>
      <c r="X16" s="20"/>
    </row>
    <row r="17" spans="2:24" ht="29.25" customHeight="1" x14ac:dyDescent="0.45">
      <c r="B17" s="299" t="s">
        <v>14</v>
      </c>
      <c r="C17" s="300"/>
      <c r="D17" s="300"/>
      <c r="E17" s="297"/>
      <c r="F17" s="80"/>
      <c r="G17" s="80"/>
      <c r="H17" s="80"/>
      <c r="I17" s="80"/>
      <c r="J17" s="80"/>
      <c r="K17" s="80"/>
      <c r="L17" s="80"/>
      <c r="M17" s="80"/>
      <c r="N17" s="80"/>
      <c r="O17" s="80"/>
      <c r="P17" s="80"/>
      <c r="Q17" s="80"/>
      <c r="R17" s="80"/>
      <c r="S17" s="80"/>
      <c r="T17" s="306"/>
      <c r="U17" s="307"/>
      <c r="V17" s="76">
        <f>COUNTIF(G17:R17,"国保")+COUNTIF(G17:R17,"後期")</f>
        <v>0</v>
      </c>
      <c r="W17" s="69"/>
      <c r="X17" s="20"/>
    </row>
    <row r="18" spans="2:24" ht="29.25" customHeight="1" x14ac:dyDescent="0.45">
      <c r="B18" s="299"/>
      <c r="C18" s="300"/>
      <c r="D18" s="300"/>
      <c r="E18" s="297"/>
      <c r="F18" s="82"/>
      <c r="G18" s="83" t="str">
        <f>IF(G17="","",IF(AND(G$12&gt;=$AM$49,G$12&lt;$AN$49),"○",""))</f>
        <v/>
      </c>
      <c r="H18" s="83" t="str">
        <f>IF(H17="","",IF(AND(H$12&gt;=$AM$49,H$12&lt;$AN$49),"○",""))</f>
        <v/>
      </c>
      <c r="I18" s="83" t="str">
        <f t="shared" ref="I18:R18" si="2">IF(I17="","",IF(AND(I$12&gt;=$AM$49,I$12&lt;$AN$49),"○",""))</f>
        <v/>
      </c>
      <c r="J18" s="83" t="str">
        <f t="shared" si="2"/>
        <v/>
      </c>
      <c r="K18" s="83" t="str">
        <f t="shared" si="2"/>
        <v/>
      </c>
      <c r="L18" s="83" t="str">
        <f t="shared" si="2"/>
        <v/>
      </c>
      <c r="M18" s="83" t="str">
        <f t="shared" si="2"/>
        <v/>
      </c>
      <c r="N18" s="83" t="str">
        <f t="shared" si="2"/>
        <v/>
      </c>
      <c r="O18" s="83" t="str">
        <f t="shared" si="2"/>
        <v/>
      </c>
      <c r="P18" s="83" t="str">
        <f t="shared" si="2"/>
        <v/>
      </c>
      <c r="Q18" s="83" t="str">
        <f t="shared" si="2"/>
        <v/>
      </c>
      <c r="R18" s="83" t="str">
        <f t="shared" si="2"/>
        <v/>
      </c>
      <c r="S18" s="87"/>
      <c r="T18" s="86"/>
      <c r="U18" s="95"/>
      <c r="V18" s="76">
        <f>COUNTIF(G18:R18,"○")</f>
        <v>0</v>
      </c>
      <c r="W18" s="69"/>
      <c r="X18" s="20"/>
    </row>
    <row r="19" spans="2:24" ht="29.25" customHeight="1" x14ac:dyDescent="0.45">
      <c r="B19" s="299"/>
      <c r="C19" s="300"/>
      <c r="D19" s="300"/>
      <c r="E19" s="297"/>
      <c r="F19" s="87" t="str">
        <f>IF(F17="","",IF(F17="国保","被保","特定"))</f>
        <v/>
      </c>
      <c r="G19" s="87" t="str">
        <f>IF(G17="","",IF(G17="国保","被保","特定"))</f>
        <v/>
      </c>
      <c r="H19" s="87" t="str">
        <f t="shared" ref="H19:R19" si="3">IF(H17="","",IF(H17="国保","被保","特定"))</f>
        <v/>
      </c>
      <c r="I19" s="87" t="str">
        <f t="shared" si="3"/>
        <v/>
      </c>
      <c r="J19" s="87" t="str">
        <f t="shared" si="3"/>
        <v/>
      </c>
      <c r="K19" s="87" t="str">
        <f t="shared" si="3"/>
        <v/>
      </c>
      <c r="L19" s="87" t="str">
        <f t="shared" si="3"/>
        <v/>
      </c>
      <c r="M19" s="87" t="str">
        <f t="shared" si="3"/>
        <v/>
      </c>
      <c r="N19" s="87" t="str">
        <f t="shared" si="3"/>
        <v/>
      </c>
      <c r="O19" s="87" t="str">
        <f t="shared" si="3"/>
        <v/>
      </c>
      <c r="P19" s="87" t="str">
        <f t="shared" si="3"/>
        <v/>
      </c>
      <c r="Q19" s="87" t="str">
        <f t="shared" si="3"/>
        <v/>
      </c>
      <c r="R19" s="87" t="str">
        <f t="shared" si="3"/>
        <v/>
      </c>
      <c r="S19" s="87">
        <f>COUNTIF(G19:R19,"被保")</f>
        <v>0</v>
      </c>
      <c r="T19" s="86"/>
      <c r="U19" s="95"/>
      <c r="V19" s="76" t="str">
        <f>IF(COUNTIF(G17:R17,"国保")&gt;=1,"被保険者","")</f>
        <v/>
      </c>
      <c r="W19" s="69"/>
      <c r="X19" s="20"/>
    </row>
    <row r="20" spans="2:24" ht="29.25" customHeight="1" x14ac:dyDescent="0.45">
      <c r="B20" s="299" t="s">
        <v>15</v>
      </c>
      <c r="C20" s="300"/>
      <c r="D20" s="300"/>
      <c r="E20" s="297"/>
      <c r="F20" s="80"/>
      <c r="G20" s="80"/>
      <c r="H20" s="80"/>
      <c r="I20" s="80"/>
      <c r="J20" s="80"/>
      <c r="K20" s="80"/>
      <c r="L20" s="80"/>
      <c r="M20" s="80"/>
      <c r="N20" s="80"/>
      <c r="O20" s="80"/>
      <c r="P20" s="80"/>
      <c r="Q20" s="80"/>
      <c r="R20" s="80"/>
      <c r="S20" s="80"/>
      <c r="T20" s="306"/>
      <c r="U20" s="307"/>
      <c r="V20" s="76">
        <f>COUNTIF(G20:R20,"国保")+COUNTIF(G20:R20,"後期")</f>
        <v>0</v>
      </c>
      <c r="W20" s="69"/>
      <c r="X20" s="20"/>
    </row>
    <row r="21" spans="2:24" ht="29.25" customHeight="1" x14ac:dyDescent="0.45">
      <c r="B21" s="299"/>
      <c r="C21" s="300"/>
      <c r="D21" s="300"/>
      <c r="E21" s="297"/>
      <c r="F21" s="82"/>
      <c r="G21" s="83" t="str">
        <f>IF(G20="","",IF(AND(G$12&gt;=$AM$50,G$12&lt;$AN$50),"○",""))</f>
        <v/>
      </c>
      <c r="H21" s="83" t="str">
        <f t="shared" ref="H21:R21" si="4">IF(H20="","",IF(AND(H$12&gt;=$AM$50,H$12&lt;$AN$50),"○",""))</f>
        <v/>
      </c>
      <c r="I21" s="83" t="str">
        <f t="shared" si="4"/>
        <v/>
      </c>
      <c r="J21" s="83" t="str">
        <f t="shared" si="4"/>
        <v/>
      </c>
      <c r="K21" s="83" t="str">
        <f>IF(K20="","",IF(AND(K$12&gt;=$AM$50,K$12&lt;$AN$50),"○",""))</f>
        <v/>
      </c>
      <c r="L21" s="83" t="str">
        <f t="shared" si="4"/>
        <v/>
      </c>
      <c r="M21" s="83" t="str">
        <f t="shared" si="4"/>
        <v/>
      </c>
      <c r="N21" s="83" t="str">
        <f t="shared" si="4"/>
        <v/>
      </c>
      <c r="O21" s="83" t="str">
        <f t="shared" si="4"/>
        <v/>
      </c>
      <c r="P21" s="83" t="str">
        <f t="shared" si="4"/>
        <v/>
      </c>
      <c r="Q21" s="83" t="str">
        <f t="shared" si="4"/>
        <v/>
      </c>
      <c r="R21" s="83" t="str">
        <f t="shared" si="4"/>
        <v/>
      </c>
      <c r="S21" s="87"/>
      <c r="T21" s="86"/>
      <c r="U21" s="95"/>
      <c r="V21" s="76">
        <f>COUNTIF(G21:R21,"○")</f>
        <v>0</v>
      </c>
      <c r="W21" s="69"/>
      <c r="X21" s="20"/>
    </row>
    <row r="22" spans="2:24" ht="29.25" customHeight="1" x14ac:dyDescent="0.45">
      <c r="B22" s="299"/>
      <c r="C22" s="300"/>
      <c r="D22" s="300"/>
      <c r="E22" s="297"/>
      <c r="F22" s="87" t="str">
        <f>IF(F20="","",IF(F20="国保","被保","特定"))</f>
        <v/>
      </c>
      <c r="G22" s="87" t="str">
        <f>IF(G20="","",IF(G20="国保","被保","特定"))</f>
        <v/>
      </c>
      <c r="H22" s="87" t="str">
        <f t="shared" ref="H22:I22" si="5">IF(H20="","",IF(H20="国保","被保","特定"))</f>
        <v/>
      </c>
      <c r="I22" s="87" t="str">
        <f t="shared" si="5"/>
        <v/>
      </c>
      <c r="J22" s="87" t="str">
        <f t="shared" ref="J22:R22" si="6">IF(J20="","",IF(J20="国保","被保","特定"))</f>
        <v/>
      </c>
      <c r="K22" s="87" t="str">
        <f t="shared" si="6"/>
        <v/>
      </c>
      <c r="L22" s="87" t="str">
        <f t="shared" si="6"/>
        <v/>
      </c>
      <c r="M22" s="87" t="str">
        <f t="shared" si="6"/>
        <v/>
      </c>
      <c r="N22" s="87" t="str">
        <f t="shared" si="6"/>
        <v/>
      </c>
      <c r="O22" s="87" t="str">
        <f t="shared" si="6"/>
        <v/>
      </c>
      <c r="P22" s="87" t="str">
        <f t="shared" si="6"/>
        <v/>
      </c>
      <c r="Q22" s="87" t="str">
        <f t="shared" si="6"/>
        <v/>
      </c>
      <c r="R22" s="87" t="str">
        <f t="shared" si="6"/>
        <v/>
      </c>
      <c r="S22" s="87">
        <f>COUNTIF(G22:R22,"被保")</f>
        <v>0</v>
      </c>
      <c r="T22" s="86"/>
      <c r="U22" s="95"/>
      <c r="V22" s="76" t="str">
        <f>IF(COUNTIF(G20:R20,"国保")&gt;=1,"被保険者","")</f>
        <v/>
      </c>
      <c r="W22" s="69"/>
      <c r="X22" s="20"/>
    </row>
    <row r="23" spans="2:24" ht="29.25" customHeight="1" x14ac:dyDescent="0.45">
      <c r="B23" s="299" t="s">
        <v>16</v>
      </c>
      <c r="C23" s="300"/>
      <c r="D23" s="300"/>
      <c r="E23" s="297"/>
      <c r="F23" s="80"/>
      <c r="G23" s="80"/>
      <c r="H23" s="80"/>
      <c r="I23" s="80"/>
      <c r="J23" s="80"/>
      <c r="K23" s="80"/>
      <c r="L23" s="80"/>
      <c r="M23" s="80"/>
      <c r="N23" s="80"/>
      <c r="O23" s="80"/>
      <c r="P23" s="80"/>
      <c r="Q23" s="80"/>
      <c r="R23" s="80"/>
      <c r="S23" s="80"/>
      <c r="T23" s="306"/>
      <c r="U23" s="307"/>
      <c r="V23" s="76">
        <f>COUNTIF(G23:R23,"国保")+COUNTIF(G23:R23,"後期")</f>
        <v>0</v>
      </c>
      <c r="W23" s="69"/>
      <c r="X23" s="20"/>
    </row>
    <row r="24" spans="2:24" ht="29.25" customHeight="1" x14ac:dyDescent="0.45">
      <c r="B24" s="299"/>
      <c r="C24" s="300"/>
      <c r="D24" s="300"/>
      <c r="E24" s="297"/>
      <c r="F24" s="82"/>
      <c r="G24" s="83" t="str">
        <f>IF(G23="","",IF(AND(G$12&gt;=$AM$51,G$12&lt;$AN$51),"○",""))</f>
        <v/>
      </c>
      <c r="H24" s="83" t="str">
        <f t="shared" ref="H24:R24" si="7">IF(H23="","",IF(AND(H$12&gt;=$AM$51,H$12&lt;$AN$51),"○",""))</f>
        <v/>
      </c>
      <c r="I24" s="83" t="str">
        <f t="shared" si="7"/>
        <v/>
      </c>
      <c r="J24" s="83" t="str">
        <f t="shared" si="7"/>
        <v/>
      </c>
      <c r="K24" s="83" t="str">
        <f t="shared" si="7"/>
        <v/>
      </c>
      <c r="L24" s="83" t="str">
        <f t="shared" si="7"/>
        <v/>
      </c>
      <c r="M24" s="83" t="str">
        <f t="shared" si="7"/>
        <v/>
      </c>
      <c r="N24" s="83" t="str">
        <f t="shared" si="7"/>
        <v/>
      </c>
      <c r="O24" s="83" t="str">
        <f t="shared" si="7"/>
        <v/>
      </c>
      <c r="P24" s="83" t="str">
        <f t="shared" si="7"/>
        <v/>
      </c>
      <c r="Q24" s="83" t="str">
        <f t="shared" si="7"/>
        <v/>
      </c>
      <c r="R24" s="83" t="str">
        <f t="shared" si="7"/>
        <v/>
      </c>
      <c r="S24" s="87"/>
      <c r="T24" s="86"/>
      <c r="U24" s="95"/>
      <c r="V24" s="76">
        <f>COUNTIF(G24:R24,"○")</f>
        <v>0</v>
      </c>
      <c r="W24" s="69"/>
      <c r="X24" s="20"/>
    </row>
    <row r="25" spans="2:24" ht="29.25" customHeight="1" x14ac:dyDescent="0.45">
      <c r="B25" s="299"/>
      <c r="C25" s="300"/>
      <c r="D25" s="300"/>
      <c r="E25" s="297"/>
      <c r="F25" s="87" t="str">
        <f>IF(F23="","",IF(F23="国保","被保","特定"))</f>
        <v/>
      </c>
      <c r="G25" s="87" t="str">
        <f>IF(G23="","",IF(G23="国保","被保","特定"))</f>
        <v/>
      </c>
      <c r="H25" s="87" t="str">
        <f t="shared" ref="H25:R25" si="8">IF(H23="","",IF(H23="国保","被保","特定"))</f>
        <v/>
      </c>
      <c r="I25" s="87" t="str">
        <f t="shared" si="8"/>
        <v/>
      </c>
      <c r="J25" s="87" t="str">
        <f t="shared" si="8"/>
        <v/>
      </c>
      <c r="K25" s="87" t="str">
        <f t="shared" si="8"/>
        <v/>
      </c>
      <c r="L25" s="87" t="str">
        <f t="shared" si="8"/>
        <v/>
      </c>
      <c r="M25" s="87" t="str">
        <f t="shared" si="8"/>
        <v/>
      </c>
      <c r="N25" s="87" t="str">
        <f t="shared" si="8"/>
        <v/>
      </c>
      <c r="O25" s="87" t="str">
        <f t="shared" si="8"/>
        <v/>
      </c>
      <c r="P25" s="87" t="str">
        <f t="shared" si="8"/>
        <v/>
      </c>
      <c r="Q25" s="87" t="str">
        <f t="shared" si="8"/>
        <v/>
      </c>
      <c r="R25" s="87" t="str">
        <f t="shared" si="8"/>
        <v/>
      </c>
      <c r="S25" s="87">
        <f>COUNTIF(G25:R25,"被保")</f>
        <v>0</v>
      </c>
      <c r="T25" s="86"/>
      <c r="U25" s="95"/>
      <c r="V25" s="76" t="str">
        <f>IF(COUNTIF(G23:R23,"国保")&gt;=1,"被保険者","")</f>
        <v/>
      </c>
      <c r="W25" s="69"/>
      <c r="X25" s="20"/>
    </row>
    <row r="26" spans="2:24" ht="29.25" customHeight="1" x14ac:dyDescent="0.45">
      <c r="B26" s="299" t="s">
        <v>17</v>
      </c>
      <c r="C26" s="300"/>
      <c r="D26" s="300"/>
      <c r="E26" s="297"/>
      <c r="F26" s="80"/>
      <c r="G26" s="80"/>
      <c r="H26" s="80"/>
      <c r="I26" s="80"/>
      <c r="J26" s="80"/>
      <c r="K26" s="80"/>
      <c r="L26" s="80"/>
      <c r="M26" s="80"/>
      <c r="N26" s="80"/>
      <c r="O26" s="80"/>
      <c r="P26" s="80"/>
      <c r="Q26" s="80"/>
      <c r="R26" s="80"/>
      <c r="S26" s="80"/>
      <c r="T26" s="306"/>
      <c r="U26" s="307"/>
      <c r="V26" s="76">
        <f>COUNTIF(G26:R26,"国保")+COUNTIF(G26:R26,"後期")</f>
        <v>0</v>
      </c>
      <c r="W26" s="69"/>
      <c r="X26" s="20"/>
    </row>
    <row r="27" spans="2:24" ht="29.25" customHeight="1" x14ac:dyDescent="0.45">
      <c r="B27" s="299"/>
      <c r="C27" s="300"/>
      <c r="D27" s="300"/>
      <c r="E27" s="297"/>
      <c r="F27" s="82"/>
      <c r="G27" s="83" t="str">
        <f>IF(G26="","",IF(AND(G$12&gt;=$AM$52,G$12&lt;$AN$52),"○",""))</f>
        <v/>
      </c>
      <c r="H27" s="83" t="str">
        <f t="shared" ref="H27:R27" si="9">IF(H26="","",IF(AND(H$12&gt;=$AM$52,H$12&lt;$AN$52),"○",""))</f>
        <v/>
      </c>
      <c r="I27" s="83" t="str">
        <f t="shared" si="9"/>
        <v/>
      </c>
      <c r="J27" s="83" t="str">
        <f t="shared" si="9"/>
        <v/>
      </c>
      <c r="K27" s="83" t="str">
        <f t="shared" si="9"/>
        <v/>
      </c>
      <c r="L27" s="83" t="str">
        <f t="shared" si="9"/>
        <v/>
      </c>
      <c r="M27" s="83" t="str">
        <f t="shared" si="9"/>
        <v/>
      </c>
      <c r="N27" s="83" t="str">
        <f t="shared" si="9"/>
        <v/>
      </c>
      <c r="O27" s="83" t="str">
        <f t="shared" si="9"/>
        <v/>
      </c>
      <c r="P27" s="83" t="str">
        <f t="shared" si="9"/>
        <v/>
      </c>
      <c r="Q27" s="83" t="str">
        <f t="shared" si="9"/>
        <v/>
      </c>
      <c r="R27" s="83" t="str">
        <f t="shared" si="9"/>
        <v/>
      </c>
      <c r="S27" s="87"/>
      <c r="T27" s="86"/>
      <c r="U27" s="95"/>
      <c r="V27" s="76">
        <f>COUNTIF(G27:R27,"○")</f>
        <v>0</v>
      </c>
      <c r="W27" s="69"/>
      <c r="X27" s="20"/>
    </row>
    <row r="28" spans="2:24" ht="29.25" customHeight="1" x14ac:dyDescent="0.45">
      <c r="B28" s="299"/>
      <c r="C28" s="300"/>
      <c r="D28" s="300"/>
      <c r="E28" s="297"/>
      <c r="F28" s="87" t="str">
        <f>IF(F26="","",IF(F26="国保","被保","特定"))</f>
        <v/>
      </c>
      <c r="G28" s="87" t="str">
        <f>IF(G26="","",IF(G26="国保","被保","特定"))</f>
        <v/>
      </c>
      <c r="H28" s="87" t="str">
        <f t="shared" ref="H28:R28" si="10">IF(H26="","",IF(H26="国保","被保","特定"))</f>
        <v/>
      </c>
      <c r="I28" s="87" t="str">
        <f t="shared" si="10"/>
        <v/>
      </c>
      <c r="J28" s="87" t="str">
        <f t="shared" si="10"/>
        <v/>
      </c>
      <c r="K28" s="87" t="str">
        <f t="shared" si="10"/>
        <v/>
      </c>
      <c r="L28" s="87" t="str">
        <f t="shared" si="10"/>
        <v/>
      </c>
      <c r="M28" s="87" t="str">
        <f t="shared" si="10"/>
        <v/>
      </c>
      <c r="N28" s="87" t="str">
        <f t="shared" si="10"/>
        <v/>
      </c>
      <c r="O28" s="87" t="str">
        <f t="shared" si="10"/>
        <v/>
      </c>
      <c r="P28" s="87" t="str">
        <f t="shared" si="10"/>
        <v/>
      </c>
      <c r="Q28" s="87" t="str">
        <f t="shared" si="10"/>
        <v/>
      </c>
      <c r="R28" s="87" t="str">
        <f t="shared" si="10"/>
        <v/>
      </c>
      <c r="S28" s="87">
        <f>COUNTIF(G28:R28,"被保")</f>
        <v>0</v>
      </c>
      <c r="T28" s="86"/>
      <c r="U28" s="95"/>
      <c r="V28" s="76" t="str">
        <f>IF(COUNTIF(G26:R26,"国保")&gt;=1,"被保険者","")</f>
        <v/>
      </c>
      <c r="W28" s="69"/>
      <c r="X28" s="20"/>
    </row>
    <row r="29" spans="2:24" ht="29.25" customHeight="1" x14ac:dyDescent="0.45">
      <c r="B29" s="299" t="s">
        <v>18</v>
      </c>
      <c r="C29" s="300"/>
      <c r="D29" s="300"/>
      <c r="E29" s="297"/>
      <c r="F29" s="83"/>
      <c r="G29" s="83"/>
      <c r="H29" s="83"/>
      <c r="I29" s="83"/>
      <c r="J29" s="83"/>
      <c r="K29" s="83"/>
      <c r="L29" s="83"/>
      <c r="M29" s="83"/>
      <c r="N29" s="83"/>
      <c r="O29" s="83"/>
      <c r="P29" s="83"/>
      <c r="Q29" s="83"/>
      <c r="R29" s="83"/>
      <c r="S29" s="80"/>
      <c r="T29" s="306"/>
      <c r="U29" s="307"/>
      <c r="V29" s="76">
        <f>COUNTIF(G29:R29,"国保")+COUNTIF(G29:R29,"後期")</f>
        <v>0</v>
      </c>
      <c r="W29" s="69"/>
      <c r="X29" s="20"/>
    </row>
    <row r="30" spans="2:24" ht="29.25" customHeight="1" x14ac:dyDescent="0.45">
      <c r="B30" s="299"/>
      <c r="C30" s="300"/>
      <c r="D30" s="300"/>
      <c r="E30" s="297"/>
      <c r="F30" s="82"/>
      <c r="G30" s="83" t="str">
        <f>IF(G29="","",IF(AND(G12&gt;=$AM$53,G12&lt;$AN$53),"○",""))</f>
        <v/>
      </c>
      <c r="H30" s="83" t="str">
        <f t="shared" ref="G30:R30" si="11">IF(H29="","",IF(AND(H12&gt;=$AM$53,H12&lt;$AN$53),"○",""))</f>
        <v/>
      </c>
      <c r="I30" s="83" t="str">
        <f t="shared" si="11"/>
        <v/>
      </c>
      <c r="J30" s="83" t="str">
        <f t="shared" si="11"/>
        <v/>
      </c>
      <c r="K30" s="83" t="str">
        <f t="shared" si="11"/>
        <v/>
      </c>
      <c r="L30" s="83" t="str">
        <f t="shared" si="11"/>
        <v/>
      </c>
      <c r="M30" s="83" t="str">
        <f t="shared" si="11"/>
        <v/>
      </c>
      <c r="N30" s="83" t="str">
        <f t="shared" si="11"/>
        <v/>
      </c>
      <c r="O30" s="83" t="str">
        <f t="shared" si="11"/>
        <v/>
      </c>
      <c r="P30" s="83" t="str">
        <f t="shared" si="11"/>
        <v/>
      </c>
      <c r="Q30" s="83" t="str">
        <f t="shared" si="11"/>
        <v/>
      </c>
      <c r="R30" s="83" t="str">
        <f t="shared" si="11"/>
        <v/>
      </c>
      <c r="S30" s="87"/>
      <c r="T30" s="86"/>
      <c r="U30" s="95"/>
      <c r="V30" s="76">
        <f>COUNTIF(G30:R30,"○")</f>
        <v>0</v>
      </c>
      <c r="W30" s="69"/>
      <c r="X30" s="20"/>
    </row>
    <row r="31" spans="2:24" ht="29.25" customHeight="1" x14ac:dyDescent="0.45">
      <c r="B31" s="299"/>
      <c r="C31" s="300"/>
      <c r="D31" s="300"/>
      <c r="E31" s="297"/>
      <c r="F31" s="87" t="str">
        <f t="shared" ref="F31:F40" si="12">IF(F29="","",IF(F29="国保","被保","特定"))</f>
        <v/>
      </c>
      <c r="G31" s="87" t="str">
        <f t="shared" ref="G31:R31" si="13">IF(G29="","",IF(G29="国保","被保","特定"))</f>
        <v/>
      </c>
      <c r="H31" s="87" t="str">
        <f t="shared" si="13"/>
        <v/>
      </c>
      <c r="I31" s="87" t="str">
        <f t="shared" si="13"/>
        <v/>
      </c>
      <c r="J31" s="87" t="str">
        <f t="shared" si="13"/>
        <v/>
      </c>
      <c r="K31" s="87" t="str">
        <f t="shared" si="13"/>
        <v/>
      </c>
      <c r="L31" s="87" t="str">
        <f t="shared" si="13"/>
        <v/>
      </c>
      <c r="M31" s="87" t="str">
        <f t="shared" si="13"/>
        <v/>
      </c>
      <c r="N31" s="87" t="str">
        <f t="shared" si="13"/>
        <v/>
      </c>
      <c r="O31" s="87" t="str">
        <f t="shared" si="13"/>
        <v/>
      </c>
      <c r="P31" s="87" t="str">
        <f t="shared" si="13"/>
        <v/>
      </c>
      <c r="Q31" s="87" t="str">
        <f t="shared" si="13"/>
        <v/>
      </c>
      <c r="R31" s="87" t="str">
        <f t="shared" si="13"/>
        <v/>
      </c>
      <c r="S31" s="87">
        <f>COUNTIF(G31:R31,"被保")</f>
        <v>0</v>
      </c>
      <c r="T31" s="86"/>
      <c r="U31" s="95"/>
      <c r="V31" s="76" t="str">
        <f>IF(COUNTIF(G29:R29,"国保")&gt;=1,"被保険者","")</f>
        <v/>
      </c>
      <c r="W31" s="69"/>
      <c r="X31" s="20"/>
    </row>
    <row r="32" spans="2:24" ht="29.25" customHeight="1" x14ac:dyDescent="0.45">
      <c r="B32" s="299" t="s">
        <v>19</v>
      </c>
      <c r="C32" s="300"/>
      <c r="D32" s="300"/>
      <c r="E32" s="297"/>
      <c r="F32" s="83"/>
      <c r="G32" s="83"/>
      <c r="H32" s="83"/>
      <c r="I32" s="83"/>
      <c r="J32" s="83"/>
      <c r="K32" s="83"/>
      <c r="L32" s="83"/>
      <c r="M32" s="83"/>
      <c r="N32" s="83"/>
      <c r="O32" s="83"/>
      <c r="P32" s="83"/>
      <c r="Q32" s="83"/>
      <c r="R32" s="83"/>
      <c r="S32" s="80"/>
      <c r="T32" s="306"/>
      <c r="U32" s="307"/>
      <c r="V32" s="76">
        <f>COUNTIF(G32:R32,"国保")+COUNTIF(G32:R32,"後期")</f>
        <v>0</v>
      </c>
      <c r="W32" s="69"/>
      <c r="X32" s="20"/>
    </row>
    <row r="33" spans="1:46" ht="29.25" customHeight="1" x14ac:dyDescent="0.45">
      <c r="B33" s="299"/>
      <c r="C33" s="300"/>
      <c r="D33" s="300"/>
      <c r="E33" s="297"/>
      <c r="F33" s="82"/>
      <c r="G33" s="83" t="str">
        <f>IF(G32="","",IF(AND(G12&gt;=$AM$54,G12&lt;$AN$54),"○",""))</f>
        <v/>
      </c>
      <c r="H33" s="83" t="str">
        <f t="shared" ref="G33:R33" si="14">IF(H32="","",IF(AND(H12&gt;=$AM$54,H12&lt;$AN$54),"○",""))</f>
        <v/>
      </c>
      <c r="I33" s="83" t="str">
        <f t="shared" si="14"/>
        <v/>
      </c>
      <c r="J33" s="83" t="str">
        <f t="shared" si="14"/>
        <v/>
      </c>
      <c r="K33" s="83" t="str">
        <f t="shared" si="14"/>
        <v/>
      </c>
      <c r="L33" s="83" t="str">
        <f t="shared" si="14"/>
        <v/>
      </c>
      <c r="M33" s="83" t="str">
        <f t="shared" si="14"/>
        <v/>
      </c>
      <c r="N33" s="83" t="str">
        <f t="shared" si="14"/>
        <v/>
      </c>
      <c r="O33" s="83" t="str">
        <f t="shared" si="14"/>
        <v/>
      </c>
      <c r="P33" s="83" t="str">
        <f t="shared" si="14"/>
        <v/>
      </c>
      <c r="Q33" s="83" t="str">
        <f t="shared" si="14"/>
        <v/>
      </c>
      <c r="R33" s="83" t="str">
        <f t="shared" si="14"/>
        <v/>
      </c>
      <c r="S33" s="87"/>
      <c r="T33" s="86"/>
      <c r="U33" s="95"/>
      <c r="V33" s="76">
        <f>COUNTIF(G33:R33,"○")</f>
        <v>0</v>
      </c>
      <c r="W33" s="69"/>
      <c r="X33" s="20"/>
    </row>
    <row r="34" spans="1:46" ht="29.25" customHeight="1" x14ac:dyDescent="0.45">
      <c r="B34" s="299"/>
      <c r="C34" s="300"/>
      <c r="D34" s="300"/>
      <c r="E34" s="297"/>
      <c r="F34" s="87" t="str">
        <f t="shared" si="12"/>
        <v/>
      </c>
      <c r="G34" s="87" t="str">
        <f t="shared" ref="G34:R34" si="15">IF(G32="","",IF(G32="国保","被保","特定"))</f>
        <v/>
      </c>
      <c r="H34" s="87" t="str">
        <f t="shared" si="15"/>
        <v/>
      </c>
      <c r="I34" s="87" t="str">
        <f t="shared" si="15"/>
        <v/>
      </c>
      <c r="J34" s="87" t="str">
        <f t="shared" si="15"/>
        <v/>
      </c>
      <c r="K34" s="87" t="str">
        <f t="shared" si="15"/>
        <v/>
      </c>
      <c r="L34" s="87" t="str">
        <f t="shared" si="15"/>
        <v/>
      </c>
      <c r="M34" s="87" t="str">
        <f t="shared" si="15"/>
        <v/>
      </c>
      <c r="N34" s="87" t="str">
        <f t="shared" si="15"/>
        <v/>
      </c>
      <c r="O34" s="87" t="str">
        <f t="shared" si="15"/>
        <v/>
      </c>
      <c r="P34" s="87" t="str">
        <f t="shared" si="15"/>
        <v/>
      </c>
      <c r="Q34" s="87" t="str">
        <f t="shared" si="15"/>
        <v/>
      </c>
      <c r="R34" s="87" t="str">
        <f t="shared" si="15"/>
        <v/>
      </c>
      <c r="S34" s="87">
        <f>COUNTIF(G34:R34,"被保")</f>
        <v>0</v>
      </c>
      <c r="T34" s="86"/>
      <c r="U34" s="95"/>
      <c r="V34" s="76" t="str">
        <f>IF(COUNTIF(G32:R32,"国保")&gt;=1,"被保険者","")</f>
        <v/>
      </c>
      <c r="W34" s="69"/>
      <c r="X34" s="20"/>
    </row>
    <row r="35" spans="1:46" ht="29.25" customHeight="1" x14ac:dyDescent="0.45">
      <c r="B35" s="299" t="s">
        <v>20</v>
      </c>
      <c r="C35" s="300"/>
      <c r="D35" s="300"/>
      <c r="E35" s="297"/>
      <c r="F35" s="83"/>
      <c r="G35" s="83"/>
      <c r="H35" s="83"/>
      <c r="I35" s="83"/>
      <c r="J35" s="83"/>
      <c r="K35" s="83"/>
      <c r="L35" s="83"/>
      <c r="M35" s="83"/>
      <c r="N35" s="83"/>
      <c r="O35" s="83"/>
      <c r="P35" s="83"/>
      <c r="Q35" s="83"/>
      <c r="R35" s="83"/>
      <c r="S35" s="80"/>
      <c r="T35" s="306"/>
      <c r="U35" s="307"/>
      <c r="V35" s="317">
        <f>COUNTIF(G35:R35,"国保")+COUNTIF(G35:R35,"後期")</f>
        <v>0</v>
      </c>
      <c r="W35" s="69"/>
      <c r="X35" s="20"/>
    </row>
    <row r="36" spans="1:46" ht="30" customHeight="1" x14ac:dyDescent="0.45">
      <c r="B36" s="299"/>
      <c r="C36" s="300"/>
      <c r="D36" s="300"/>
      <c r="E36" s="297"/>
      <c r="F36" s="82"/>
      <c r="G36" s="83" t="str">
        <f>IF(G35="","",IF(AND(G12&gt;=$AM$55,G12&lt;$AN$55),"○",""))</f>
        <v/>
      </c>
      <c r="H36" s="83" t="str">
        <f t="shared" ref="G36:R36" si="16">IF(H35="","",IF(AND(H12&gt;=$AM$55,H12&lt;$AN$55),"○",""))</f>
        <v/>
      </c>
      <c r="I36" s="83" t="str">
        <f t="shared" si="16"/>
        <v/>
      </c>
      <c r="J36" s="83" t="str">
        <f t="shared" si="16"/>
        <v/>
      </c>
      <c r="K36" s="83" t="str">
        <f t="shared" si="16"/>
        <v/>
      </c>
      <c r="L36" s="83" t="str">
        <f t="shared" si="16"/>
        <v/>
      </c>
      <c r="M36" s="83" t="str">
        <f t="shared" si="16"/>
        <v/>
      </c>
      <c r="N36" s="83" t="str">
        <f t="shared" si="16"/>
        <v/>
      </c>
      <c r="O36" s="83" t="str">
        <f t="shared" si="16"/>
        <v/>
      </c>
      <c r="P36" s="83" t="str">
        <f t="shared" si="16"/>
        <v/>
      </c>
      <c r="Q36" s="83" t="str">
        <f t="shared" si="16"/>
        <v/>
      </c>
      <c r="R36" s="83" t="str">
        <f t="shared" si="16"/>
        <v/>
      </c>
      <c r="S36" s="83"/>
      <c r="T36" s="86"/>
      <c r="U36" s="95"/>
      <c r="V36" s="76">
        <f>COUNTIF(G36:R36,"○")</f>
        <v>0</v>
      </c>
      <c r="W36" s="69"/>
      <c r="X36" s="20"/>
    </row>
    <row r="37" spans="1:46" ht="30" customHeight="1" x14ac:dyDescent="0.45">
      <c r="B37" s="312"/>
      <c r="C37" s="300"/>
      <c r="D37" s="300"/>
      <c r="E37" s="297"/>
      <c r="F37" s="87" t="str">
        <f t="shared" si="12"/>
        <v/>
      </c>
      <c r="G37" s="87" t="str">
        <f t="shared" ref="G37:R37" si="17">IF(G35="","",IF(G35="国保","被保","特定"))</f>
        <v/>
      </c>
      <c r="H37" s="87" t="str">
        <f t="shared" si="17"/>
        <v/>
      </c>
      <c r="I37" s="87" t="str">
        <f t="shared" si="17"/>
        <v/>
      </c>
      <c r="J37" s="87" t="str">
        <f t="shared" si="17"/>
        <v/>
      </c>
      <c r="K37" s="87" t="str">
        <f t="shared" si="17"/>
        <v/>
      </c>
      <c r="L37" s="87" t="str">
        <f t="shared" si="17"/>
        <v/>
      </c>
      <c r="M37" s="87" t="str">
        <f t="shared" si="17"/>
        <v/>
      </c>
      <c r="N37" s="87" t="str">
        <f t="shared" si="17"/>
        <v/>
      </c>
      <c r="O37" s="87" t="str">
        <f t="shared" si="17"/>
        <v/>
      </c>
      <c r="P37" s="87" t="str">
        <f t="shared" si="17"/>
        <v/>
      </c>
      <c r="Q37" s="87" t="str">
        <f t="shared" si="17"/>
        <v/>
      </c>
      <c r="R37" s="87" t="str">
        <f t="shared" si="17"/>
        <v/>
      </c>
      <c r="S37" s="87">
        <f>COUNTIF(G37:R37,"被保")</f>
        <v>0</v>
      </c>
      <c r="T37" s="86"/>
      <c r="U37" s="95"/>
      <c r="V37" s="76" t="str">
        <f>IF(COUNTIF(G35:R35,"国保")&gt;=1,"被保険者","")</f>
        <v/>
      </c>
      <c r="W37" s="69"/>
      <c r="X37" s="20"/>
    </row>
    <row r="38" spans="1:46" ht="30" customHeight="1" x14ac:dyDescent="0.45">
      <c r="B38" s="299" t="s">
        <v>21</v>
      </c>
      <c r="C38" s="300"/>
      <c r="D38" s="300"/>
      <c r="E38" s="297"/>
      <c r="F38" s="83"/>
      <c r="G38" s="83"/>
      <c r="H38" s="83"/>
      <c r="I38" s="83"/>
      <c r="J38" s="83"/>
      <c r="K38" s="83"/>
      <c r="L38" s="83"/>
      <c r="M38" s="83"/>
      <c r="N38" s="83"/>
      <c r="O38" s="83"/>
      <c r="P38" s="83"/>
      <c r="Q38" s="83"/>
      <c r="R38" s="83"/>
      <c r="S38" s="80"/>
      <c r="T38" s="306"/>
      <c r="U38" s="307"/>
      <c r="V38" s="316">
        <f>COUNTIF(G38:R38,"国保")+COUNTIF(G38:R38,"後期")</f>
        <v>0</v>
      </c>
      <c r="W38" s="69"/>
      <c r="X38" s="20"/>
    </row>
    <row r="39" spans="1:46" ht="30" customHeight="1" x14ac:dyDescent="0.45">
      <c r="B39" s="299"/>
      <c r="C39" s="300"/>
      <c r="D39" s="300"/>
      <c r="E39" s="297"/>
      <c r="F39" s="82"/>
      <c r="G39" s="83" t="str">
        <f>IF(G38="","",IF(AND(G12&gt;=$AM$56,G12&lt;$AN$56),"○",""))</f>
        <v/>
      </c>
      <c r="H39" s="83" t="str">
        <f t="shared" ref="H39:R39" si="18">IF(H38="","",IF(AND(H36&gt;=$AM$48,H36&lt;$AN$48),"○",""))</f>
        <v/>
      </c>
      <c r="I39" s="83" t="str">
        <f t="shared" si="18"/>
        <v/>
      </c>
      <c r="J39" s="83" t="str">
        <f t="shared" si="18"/>
        <v/>
      </c>
      <c r="K39" s="83" t="str">
        <f t="shared" si="18"/>
        <v/>
      </c>
      <c r="L39" s="83" t="str">
        <f t="shared" si="18"/>
        <v/>
      </c>
      <c r="M39" s="83" t="str">
        <f t="shared" si="18"/>
        <v/>
      </c>
      <c r="N39" s="83" t="str">
        <f t="shared" si="18"/>
        <v/>
      </c>
      <c r="O39" s="83" t="str">
        <f t="shared" si="18"/>
        <v/>
      </c>
      <c r="P39" s="83" t="str">
        <f t="shared" si="18"/>
        <v/>
      </c>
      <c r="Q39" s="83" t="str">
        <f t="shared" si="18"/>
        <v/>
      </c>
      <c r="R39" s="83" t="str">
        <f t="shared" si="18"/>
        <v/>
      </c>
      <c r="S39" s="87">
        <f>COUNTIF(G39:R39,"○")</f>
        <v>0</v>
      </c>
      <c r="T39" s="83"/>
      <c r="U39" s="95"/>
      <c r="V39" s="76">
        <f>COUNTIF(G39:R39,"○")</f>
        <v>0</v>
      </c>
      <c r="W39" s="69"/>
      <c r="X39" s="20"/>
    </row>
    <row r="40" spans="1:46" ht="30" customHeight="1" x14ac:dyDescent="0.45">
      <c r="B40" s="299"/>
      <c r="C40" s="300"/>
      <c r="D40" s="300"/>
      <c r="E40" s="297"/>
      <c r="F40" s="87" t="str">
        <f t="shared" si="12"/>
        <v/>
      </c>
      <c r="G40" s="87" t="str">
        <f t="shared" ref="G40:R40" si="19">IF(G38="","",IF(G38="国保","被保","特定"))</f>
        <v/>
      </c>
      <c r="H40" s="87" t="str">
        <f t="shared" si="19"/>
        <v/>
      </c>
      <c r="I40" s="87" t="str">
        <f t="shared" si="19"/>
        <v/>
      </c>
      <c r="J40" s="87" t="str">
        <f t="shared" si="19"/>
        <v/>
      </c>
      <c r="K40" s="87" t="str">
        <f t="shared" si="19"/>
        <v/>
      </c>
      <c r="L40" s="87" t="str">
        <f t="shared" si="19"/>
        <v/>
      </c>
      <c r="M40" s="87" t="str">
        <f t="shared" si="19"/>
        <v/>
      </c>
      <c r="N40" s="87" t="str">
        <f t="shared" si="19"/>
        <v/>
      </c>
      <c r="O40" s="87" t="str">
        <f t="shared" si="19"/>
        <v/>
      </c>
      <c r="P40" s="87" t="str">
        <f t="shared" si="19"/>
        <v/>
      </c>
      <c r="Q40" s="87" t="str">
        <f t="shared" si="19"/>
        <v/>
      </c>
      <c r="R40" s="87" t="str">
        <f t="shared" si="19"/>
        <v/>
      </c>
      <c r="S40" s="87" t="str">
        <f>IF(COUNTIF(G38:R38,"国保")&gt;=1,"被保険者","")</f>
        <v/>
      </c>
      <c r="T40" s="87">
        <f>COUNTIF(G40:R40,"被保")</f>
        <v>0</v>
      </c>
      <c r="U40" s="95"/>
      <c r="V40" s="76" t="str">
        <f>IF(COUNTIF(G38:R38,"国保")&gt;=1,"被保険者","")</f>
        <v/>
      </c>
      <c r="W40" s="69"/>
      <c r="X40" s="20"/>
    </row>
    <row r="41" spans="1:46" ht="30" customHeight="1" x14ac:dyDescent="0.45">
      <c r="A41" s="73"/>
      <c r="B41" s="75"/>
      <c r="C41" s="209" t="s">
        <v>92</v>
      </c>
      <c r="D41" s="304"/>
      <c r="E41" s="305"/>
      <c r="F41" s="76">
        <f t="shared" ref="F41:R41" si="20">COUNTIF(F14:F40,"普主")+COUNTIF(F14:F40,"特擬")+COUNTIF(F14:F40,"被保")+COUNTIF(F14:F40,"特定")</f>
        <v>0</v>
      </c>
      <c r="G41" s="76">
        <f t="shared" si="20"/>
        <v>0</v>
      </c>
      <c r="H41" s="76">
        <f t="shared" si="20"/>
        <v>0</v>
      </c>
      <c r="I41" s="76">
        <f t="shared" si="20"/>
        <v>0</v>
      </c>
      <c r="J41" s="76">
        <f t="shared" si="20"/>
        <v>0</v>
      </c>
      <c r="K41" s="76">
        <f t="shared" si="20"/>
        <v>0</v>
      </c>
      <c r="L41" s="76">
        <f t="shared" si="20"/>
        <v>0</v>
      </c>
      <c r="M41" s="76">
        <f t="shared" si="20"/>
        <v>0</v>
      </c>
      <c r="N41" s="76">
        <f t="shared" si="20"/>
        <v>0</v>
      </c>
      <c r="O41" s="76">
        <f t="shared" si="20"/>
        <v>0</v>
      </c>
      <c r="P41" s="76">
        <f t="shared" si="20"/>
        <v>0</v>
      </c>
      <c r="Q41" s="76">
        <f t="shared" si="20"/>
        <v>0</v>
      </c>
      <c r="R41" s="76">
        <f t="shared" si="20"/>
        <v>0</v>
      </c>
      <c r="S41" s="76"/>
      <c r="T41" s="54"/>
      <c r="U41" s="237"/>
      <c r="V41" s="238"/>
      <c r="W41" s="69"/>
      <c r="X41" s="20"/>
    </row>
    <row r="42" spans="1:46" ht="30" customHeight="1" x14ac:dyDescent="0.45">
      <c r="A42" s="73"/>
      <c r="B42" s="21"/>
      <c r="C42" s="243" t="s">
        <v>73</v>
      </c>
      <c r="D42" s="244"/>
      <c r="E42" s="245"/>
      <c r="F42" s="74"/>
      <c r="G42" s="34" t="str">
        <f t="shared" ref="G42:R42" si="21">IF(COUNTIF(G14:G40,"国保")&gt;=1,"○","")</f>
        <v/>
      </c>
      <c r="H42" s="34" t="str">
        <f t="shared" si="21"/>
        <v/>
      </c>
      <c r="I42" s="34" t="str">
        <f t="shared" si="21"/>
        <v/>
      </c>
      <c r="J42" s="34" t="str">
        <f t="shared" si="21"/>
        <v/>
      </c>
      <c r="K42" s="34" t="str">
        <f t="shared" si="21"/>
        <v/>
      </c>
      <c r="L42" s="34" t="str">
        <f t="shared" si="21"/>
        <v/>
      </c>
      <c r="M42" s="34" t="str">
        <f t="shared" si="21"/>
        <v/>
      </c>
      <c r="N42" s="34" t="str">
        <f t="shared" si="21"/>
        <v/>
      </c>
      <c r="O42" s="34" t="str">
        <f t="shared" si="21"/>
        <v/>
      </c>
      <c r="P42" s="34" t="str">
        <f t="shared" si="21"/>
        <v/>
      </c>
      <c r="Q42" s="34" t="str">
        <f t="shared" si="21"/>
        <v/>
      </c>
      <c r="R42" s="34" t="str">
        <f t="shared" si="21"/>
        <v/>
      </c>
      <c r="S42" s="26">
        <f>COUNTIF(G42:R42,"○")</f>
        <v>0</v>
      </c>
      <c r="T42" s="26"/>
      <c r="U42" s="239"/>
      <c r="V42" s="240"/>
      <c r="W42" s="71"/>
      <c r="AI42" s="1"/>
      <c r="AJ42" s="16"/>
      <c r="AK42" s="16"/>
      <c r="AL42" s="16"/>
      <c r="AM42" s="16"/>
      <c r="AN42" s="16"/>
      <c r="AO42" s="15"/>
      <c r="AP42" s="16"/>
      <c r="AQ42" s="16"/>
      <c r="AR42" s="16"/>
      <c r="AS42" s="16"/>
      <c r="AT42" s="16"/>
    </row>
    <row r="43" spans="1:46" ht="30" customHeight="1" x14ac:dyDescent="0.45">
      <c r="A43" s="73"/>
      <c r="B43" s="21"/>
      <c r="C43" s="243" t="s">
        <v>74</v>
      </c>
      <c r="D43" s="244"/>
      <c r="E43" s="245"/>
      <c r="F43" s="74"/>
      <c r="G43" s="34" t="str">
        <f t="shared" ref="G43:R43" si="22">IF(COUNTIF(G14:G40,"○")&gt;=1,"○","")</f>
        <v/>
      </c>
      <c r="H43" s="34" t="str">
        <f t="shared" si="22"/>
        <v/>
      </c>
      <c r="I43" s="34" t="str">
        <f t="shared" si="22"/>
        <v/>
      </c>
      <c r="J43" s="34" t="str">
        <f t="shared" si="22"/>
        <v/>
      </c>
      <c r="K43" s="34" t="str">
        <f t="shared" si="22"/>
        <v/>
      </c>
      <c r="L43" s="34" t="str">
        <f t="shared" si="22"/>
        <v/>
      </c>
      <c r="M43" s="34" t="str">
        <f t="shared" si="22"/>
        <v/>
      </c>
      <c r="N43" s="34" t="str">
        <f t="shared" si="22"/>
        <v/>
      </c>
      <c r="O43" s="34" t="str">
        <f t="shared" si="22"/>
        <v/>
      </c>
      <c r="P43" s="34" t="str">
        <f t="shared" si="22"/>
        <v/>
      </c>
      <c r="Q43" s="34" t="str">
        <f t="shared" si="22"/>
        <v/>
      </c>
      <c r="R43" s="34" t="str">
        <f t="shared" si="22"/>
        <v/>
      </c>
      <c r="S43" s="26">
        <f>COUNTIF(G43:R43,"○")</f>
        <v>0</v>
      </c>
      <c r="T43" s="26"/>
      <c r="U43" s="239"/>
      <c r="V43" s="240"/>
      <c r="W43" s="71"/>
      <c r="AI43" s="1"/>
      <c r="AJ43" s="16"/>
      <c r="AK43" s="16"/>
      <c r="AL43" s="16"/>
      <c r="AM43" s="16"/>
      <c r="AN43" s="16"/>
      <c r="AO43" s="15"/>
      <c r="AP43" s="16"/>
      <c r="AQ43" s="16"/>
      <c r="AR43" s="16"/>
      <c r="AS43" s="16"/>
      <c r="AT43" s="16"/>
    </row>
    <row r="44" spans="1:46" ht="30" customHeight="1" thickBot="1" x14ac:dyDescent="0.5">
      <c r="A44" s="73"/>
      <c r="B44" s="22"/>
      <c r="C44" s="246" t="s">
        <v>58</v>
      </c>
      <c r="D44" s="247"/>
      <c r="E44" s="248"/>
      <c r="F44" s="38" t="str">
        <f>IF(AND(COUNTIF(F14:F40,"（特）後期")&gt;=1,COUNTIF(F14:F40,"国保")=1,F13&gt;=$AC$5,F13&lt;$AC$6),"特定",IF(AND(COUNTIF(F14:F40,"（特）後期")&gt;=1,COUNTIF(F14:F40,"国保")=1,F13&gt;=$AC$6,F13&lt;$AC$7),"特継",""))</f>
        <v/>
      </c>
      <c r="G44" s="38" t="str">
        <f t="shared" ref="G44:R44" si="23">IF(F44="","",IF(AND(COUNTIF(G14:G40,"（特）後期")&gt;=1,COUNTIF(G14:G40,"国保")=1,G12&gt;=$AC$5,G12&lt;$AC$6),"特定",IF(AND(COUNTIF(G14:G40,"（特）後期")&gt;=1,COUNTIF(G14:G40,"国保")=1,G12&gt;=$AC$6,G12&lt;$AC$7),"特継","")))</f>
        <v/>
      </c>
      <c r="H44" s="38" t="str">
        <f t="shared" si="23"/>
        <v/>
      </c>
      <c r="I44" s="38" t="str">
        <f t="shared" si="23"/>
        <v/>
      </c>
      <c r="J44" s="38" t="str">
        <f t="shared" si="23"/>
        <v/>
      </c>
      <c r="K44" s="38" t="str">
        <f t="shared" si="23"/>
        <v/>
      </c>
      <c r="L44" s="38" t="str">
        <f t="shared" si="23"/>
        <v/>
      </c>
      <c r="M44" s="38" t="str">
        <f t="shared" si="23"/>
        <v/>
      </c>
      <c r="N44" s="38" t="str">
        <f t="shared" si="23"/>
        <v/>
      </c>
      <c r="O44" s="38" t="str">
        <f t="shared" si="23"/>
        <v/>
      </c>
      <c r="P44" s="38" t="str">
        <f t="shared" si="23"/>
        <v/>
      </c>
      <c r="Q44" s="38" t="str">
        <f t="shared" si="23"/>
        <v/>
      </c>
      <c r="R44" s="38" t="str">
        <f t="shared" si="23"/>
        <v/>
      </c>
      <c r="S44" s="38" t="str">
        <f>IF(R44="","",IF(AND(COUNTIF(Q14:Q40,"後期")&gt;=1,COUNTIF(Q14:Q40,"国保")=1,Q12&gt;=$AC$5,Q12&lt;$AC$6),"特定",IF(AND(COUNTIF(Q14:Q40,"後期")&gt;=1,COUNTIF(Q14:Q40,"国保")=1,Q12&gt;=$AC$6,Q12&lt;$AC$7),"特継","")))</f>
        <v/>
      </c>
      <c r="T44" s="38"/>
      <c r="U44" s="241"/>
      <c r="V44" s="242"/>
      <c r="W44" s="71"/>
      <c r="AI44" s="1"/>
      <c r="AJ44" s="16"/>
      <c r="AK44" s="16"/>
      <c r="AL44" s="16"/>
      <c r="AM44" s="16"/>
      <c r="AN44" s="16"/>
      <c r="AO44" s="15"/>
      <c r="AP44" s="16"/>
      <c r="AQ44" s="16"/>
      <c r="AR44" s="16"/>
      <c r="AS44" s="16"/>
      <c r="AT44" s="16"/>
    </row>
    <row r="45" spans="1:46" ht="18.75" customHeight="1" x14ac:dyDescent="0.45">
      <c r="B45" s="42"/>
      <c r="C45" s="43"/>
      <c r="D45" s="43"/>
      <c r="E45" s="44"/>
      <c r="F45" s="39"/>
      <c r="G45" s="40"/>
      <c r="H45" s="40"/>
      <c r="I45" s="40"/>
      <c r="J45" s="40"/>
      <c r="K45" s="40"/>
      <c r="L45" s="40"/>
      <c r="M45" s="40"/>
      <c r="N45" s="40"/>
      <c r="O45" s="40"/>
      <c r="P45" s="40"/>
      <c r="Q45" s="40"/>
      <c r="R45" s="40"/>
      <c r="S45" s="41"/>
      <c r="T45" s="41"/>
      <c r="U45" s="39"/>
      <c r="V45" s="39"/>
      <c r="AI45" s="1"/>
      <c r="AJ45" s="16"/>
      <c r="AK45" s="16"/>
      <c r="AL45" s="16"/>
      <c r="AM45" s="16"/>
      <c r="AN45" s="16"/>
      <c r="AO45" s="15"/>
      <c r="AP45" s="16"/>
      <c r="AQ45" s="16"/>
      <c r="AR45" s="16"/>
      <c r="AS45" s="16"/>
      <c r="AT45" s="16"/>
    </row>
    <row r="46" spans="1:46" ht="22.8" thickBot="1" x14ac:dyDescent="0.5">
      <c r="B46" s="11" t="s">
        <v>76</v>
      </c>
      <c r="M46" s="7"/>
      <c r="N46" s="7"/>
      <c r="O46" s="7"/>
      <c r="P46" s="7"/>
      <c r="Q46" s="7"/>
      <c r="Y46" s="18"/>
      <c r="Z46" s="18"/>
      <c r="AA46" s="18"/>
      <c r="AB46" s="18"/>
      <c r="AC46" s="18"/>
      <c r="AD46" s="18"/>
      <c r="AE46" s="18"/>
      <c r="AF46" s="18"/>
      <c r="AG46" s="18"/>
      <c r="AH46" s="18"/>
      <c r="AI46" s="25"/>
      <c r="AJ46" s="18"/>
    </row>
    <row r="47" spans="1:46" ht="38.25" customHeight="1" thickBot="1" x14ac:dyDescent="0.5">
      <c r="B47" s="51"/>
      <c r="C47" s="221" t="s">
        <v>57</v>
      </c>
      <c r="D47" s="221"/>
      <c r="E47" s="221" t="s">
        <v>100</v>
      </c>
      <c r="F47" s="221"/>
      <c r="G47" s="221"/>
      <c r="H47" s="295" t="s">
        <v>56</v>
      </c>
      <c r="I47" s="295"/>
      <c r="J47" s="295"/>
      <c r="K47" s="221" t="s">
        <v>41</v>
      </c>
      <c r="L47" s="221"/>
      <c r="M47" s="221"/>
      <c r="N47" s="295" t="s">
        <v>78</v>
      </c>
      <c r="O47" s="295"/>
      <c r="P47" s="295"/>
      <c r="Q47" s="295" t="s">
        <v>79</v>
      </c>
      <c r="R47" s="295"/>
      <c r="S47" s="295"/>
      <c r="T47" s="295" t="s">
        <v>80</v>
      </c>
      <c r="U47" s="295"/>
      <c r="V47" s="296"/>
      <c r="W47" s="37"/>
      <c r="X47" s="36" t="s">
        <v>42</v>
      </c>
      <c r="Y47" s="26" t="s">
        <v>8</v>
      </c>
      <c r="Z47" s="26" t="s">
        <v>10</v>
      </c>
      <c r="AA47" s="26" t="s">
        <v>11</v>
      </c>
      <c r="AB47" s="35" t="s">
        <v>44</v>
      </c>
      <c r="AC47" s="36" t="s">
        <v>45</v>
      </c>
      <c r="AD47" s="36" t="s">
        <v>95</v>
      </c>
      <c r="AE47" s="36" t="s">
        <v>96</v>
      </c>
      <c r="AF47" s="36" t="s">
        <v>99</v>
      </c>
      <c r="AG47" s="36" t="s">
        <v>94</v>
      </c>
      <c r="AH47" s="36" t="s">
        <v>55</v>
      </c>
      <c r="AI47" s="36" t="s">
        <v>98</v>
      </c>
      <c r="AJ47" s="36" t="s">
        <v>97</v>
      </c>
      <c r="AK47" s="26" t="s">
        <v>9</v>
      </c>
      <c r="AL47" s="26" t="s">
        <v>43</v>
      </c>
      <c r="AM47" s="26" t="s">
        <v>33</v>
      </c>
      <c r="AN47" s="26" t="s">
        <v>34</v>
      </c>
      <c r="AO47" s="26" t="s">
        <v>12</v>
      </c>
      <c r="AP47" s="26" t="s">
        <v>36</v>
      </c>
      <c r="AQ47" s="26" t="s">
        <v>37</v>
      </c>
      <c r="AR47" s="26" t="s">
        <v>38</v>
      </c>
      <c r="AS47" s="26" t="s">
        <v>39</v>
      </c>
      <c r="AT47" s="26" t="s">
        <v>40</v>
      </c>
    </row>
    <row r="48" spans="1:46" ht="31.5" customHeight="1" thickTop="1" x14ac:dyDescent="0.45">
      <c r="B48" s="55" t="s">
        <v>13</v>
      </c>
      <c r="C48" s="215">
        <f>C14</f>
        <v>0</v>
      </c>
      <c r="D48" s="215"/>
      <c r="E48" s="218"/>
      <c r="F48" s="218"/>
      <c r="G48" s="218"/>
      <c r="H48" s="219"/>
      <c r="I48" s="219"/>
      <c r="J48" s="219"/>
      <c r="K48" s="219"/>
      <c r="L48" s="219"/>
      <c r="M48" s="219"/>
      <c r="N48" s="218"/>
      <c r="O48" s="218"/>
      <c r="P48" s="218"/>
      <c r="Q48" s="219"/>
      <c r="R48" s="219"/>
      <c r="S48" s="219"/>
      <c r="T48" s="219"/>
      <c r="U48" s="219"/>
      <c r="V48" s="294"/>
      <c r="W48" s="32"/>
      <c r="X48" s="26" t="str">
        <f>IF(C14="","",DATEDIF(E14,$AA$5,"Y"))</f>
        <v/>
      </c>
      <c r="Y48" s="28" t="str">
        <f>IF(E14="","",DATEDIF(E14,$AA$6,"Y"))</f>
        <v/>
      </c>
      <c r="Z48" s="27" t="str">
        <f>IF(C14="","",IF(OR(AF48&gt;550000,AD48&gt;=1),"○",""))</f>
        <v/>
      </c>
      <c r="AA48" s="29">
        <f>COUNTIF(G14:R14,"国保")</f>
        <v>0</v>
      </c>
      <c r="AB48" s="33">
        <f>IF(E48&lt;=550999,0,IF(AND(E48&gt;=551000,E48&lt;=1618999),E48-550000,IF(AND(E48&gt;=1619000,E48&lt;=1619999),1619000,IF(AND(E48&gt;=1620000,E48&lt;=1621999),1070000,IF(AND(E48&gt;=1622000,E48&lt;=1623999),1072000,IF(AND(E48&gt;=1624000,E48&lt;=1627999),1074000,IF(AND(E48&gt;=1628000,E48&lt;=1799999),ROUNDDOWN(E48/4,-3)*2.4+100000,IF(AND(E48&gt;=1800000,E48&lt;=3599999),ROUNDDOWN(E48/4,-3)*2.8-80000,IF(AND(E48&gt;=3600000,E48&lt;=6599999),ROUNDDOWN(E48/4,-3)*3.2-440000,IF(AND(E48&gt;=6600000,E48&lt;=8499999),ROUNDDOWN(E48*0.9-1100000,0),E48-1950000))))))))))</f>
        <v>0</v>
      </c>
      <c r="AC48" s="27">
        <f>IF(T14&gt;=1,AB48*3/10,AB48)</f>
        <v>0</v>
      </c>
      <c r="AD48" s="27" t="str">
        <f>IF(C14="","",ROUNDDOWN(IF(AND(X48&lt;65,K48&lt;=1299999),MAX(0,K48-600000),IF(AND(X48&lt;65,K48&gt;=1300000,K48&lt;=4099999),K48*0.75-275000,IF(AND(X48&lt;65,K48&gt;=4100000,K48&lt;=7699999),K48*0.85-685000,IF(AND(X48&lt;65,K48&gt;=7700000,K48&lt;=9999999),K48*0.95-1455000,IF(AND(X48&lt;65,K48&gt;=10000000),K48-1955000,IF(AND(X48&gt;=65,K48&lt;=3299999),MAX(0,K48-1100000),IF(AND(X48&gt;=65,K48&gt;=3300000,K48&lt;=4099999),K48*0.75-275000,IF(AND(X48&gt;=65,K48&gt;=4100000,K48&lt;=7699999),K48*0.85-685000,IF(AND(X48&gt;=65,K48&gt;=7700000,K48&lt;=9999999),K48*0.95-1455000,K48-1955000))))))))),0))</f>
        <v/>
      </c>
      <c r="AE48" s="27" t="str">
        <f>IF(C14="","",IF((AC48+AD48)&gt;=100000,-(MIN(AB48,100000)+MIN(AD48,100000)-100000),0))</f>
        <v/>
      </c>
      <c r="AF48" s="27">
        <f>E48-H48</f>
        <v>0</v>
      </c>
      <c r="AG48" s="27">
        <f>IF(AF48&lt;=550999,0,IF(AND(AF48&gt;=551000,AF48&lt;=1618999),AF48-550000,IF(AND(AF48&gt;=1619000,AF48&lt;=1619999),1619000,IF(AND(AF48&gt;=1620000,AF48&lt;=1621999),1070000,IF(AND(AF48&gt;=1622000,AF48&lt;=1623999),1072000,IF(AND(AF48&gt;=1624000,AF48&lt;=1627999),1074000,IF(AND(AF48&gt;=1628000,AF48&lt;=1799999),ROUNDDOWN(AF48/4,-3)*2.4+100000,IF(AND(AF48&gt;=1800000,AF48&lt;=3599999),ROUNDDOWN(AF48/4,-3)*2.8-80000,IF(AND(AF48&gt;=3600000,AF48&lt;=6599999),ROUNDDOWN(AF48/4,-3)*3.2-440000,IF(AND(AF48&gt;=6600000,AF48&lt;=8499999),ROUNDDOWN(AF48*0.9-1100000,0),AF48-1950000))))))))))</f>
        <v>0</v>
      </c>
      <c r="AH48" s="27">
        <f>IF(T14&gt;=1,AG48*3/10,AG48)</f>
        <v>0</v>
      </c>
      <c r="AI48" s="27" t="str">
        <f>IF(C14="","",AD48+AK48)</f>
        <v/>
      </c>
      <c r="AJ48" s="27" t="str">
        <f>IF(C14="","",IF((AC48+AI48)&gt;=100000,-(MIN(AB48,100000)+MIN(AI48,100000)-100000),0))</f>
        <v/>
      </c>
      <c r="AK48" s="27" t="str">
        <f>IF(C14="","",IF(AND(X48&gt;=65,AD48&gt;=150000),-150000,IF(AND(X48&gt;=65,AD48&lt;150000),-AD48,0)))</f>
        <v/>
      </c>
      <c r="AL48" s="27" t="str">
        <f>IF(C14="","",N48+Q48+T48+AH48+AI48+AJ48+AK48)</f>
        <v/>
      </c>
      <c r="AM48" s="30" t="str">
        <f>IF(C14="","",DATE(YEAR(E14)+40,MONTH(E14),DAY(E14)-1))</f>
        <v/>
      </c>
      <c r="AN48" s="30" t="str">
        <f>IF(C14="","",DATE(YEAR(E14)+65,MONTH(E14),DAY(E14)-1))</f>
        <v/>
      </c>
      <c r="AO48" s="29">
        <f>COUNTIF(G15:R15,"○")</f>
        <v>0</v>
      </c>
      <c r="AP48" s="30" t="str">
        <f>IF(C14="","",DATE(YEAR(E14)+75,MONTH(E14),DAY(E14)-1))</f>
        <v/>
      </c>
      <c r="AQ48" s="30" t="str">
        <f>IF(C14="","",DATE(YEAR(E14)+80,MONTH(E14),DAY(E14)-1))</f>
        <v/>
      </c>
      <c r="AR48" s="30" t="str">
        <f>IF(C14="","",DATE(YEAR(E14)+83,MONTH(E14),DAY(E14)-1))</f>
        <v/>
      </c>
      <c r="AS48" s="212">
        <f>COUNTIF(G44:U44,"特定")</f>
        <v>0</v>
      </c>
      <c r="AT48" s="212">
        <f>COUNTIF(G44:U44,"特継")</f>
        <v>0</v>
      </c>
    </row>
    <row r="49" spans="2:46" ht="31.5" customHeight="1" x14ac:dyDescent="0.45">
      <c r="B49" s="56" t="s">
        <v>14</v>
      </c>
      <c r="C49" s="208">
        <f>C17</f>
        <v>0</v>
      </c>
      <c r="D49" s="208"/>
      <c r="E49" s="211"/>
      <c r="F49" s="211"/>
      <c r="G49" s="211"/>
      <c r="H49" s="313"/>
      <c r="I49" s="314"/>
      <c r="J49" s="315"/>
      <c r="K49" s="200"/>
      <c r="L49" s="200"/>
      <c r="M49" s="200"/>
      <c r="N49" s="200"/>
      <c r="O49" s="200"/>
      <c r="P49" s="200"/>
      <c r="Q49" s="200"/>
      <c r="R49" s="200"/>
      <c r="S49" s="200"/>
      <c r="T49" s="200"/>
      <c r="U49" s="200"/>
      <c r="V49" s="293"/>
      <c r="W49" s="32"/>
      <c r="X49" s="26" t="str">
        <f>IF(C17="","",DATEDIF(E17,$AA$5,"Y"))</f>
        <v/>
      </c>
      <c r="Y49" s="28" t="str">
        <f>IF(E17="","",DATEDIF(E17,$AA$6,"Y"))</f>
        <v/>
      </c>
      <c r="Z49" s="27" t="str">
        <f>IF(C17="","",IF(AND(OR(AF49&gt;550000,AD49&gt;=1),S19&gt;=1),"○",""))</f>
        <v/>
      </c>
      <c r="AA49" s="29">
        <f>COUNTIF(G17:R17,"国保")</f>
        <v>0</v>
      </c>
      <c r="AB49" s="33">
        <f t="shared" ref="AB49:AB56" si="24">IF(E49&lt;=550999,0,IF(AND(E49&gt;=551000,E49&lt;=1618999),E49-550000,IF(AND(E49&gt;=1619000,E49&lt;=1619999),1619000,IF(AND(E49&gt;=1620000,E49&lt;=1621999),1070000,IF(AND(E49&gt;=1622000,E49&lt;=1623999),1072000,IF(AND(E49&gt;=1624000,E49&lt;=1627999),1074000,IF(AND(E49&gt;=1628000,E49&lt;=1799999),ROUNDDOWN(E49/4,-3)*2.4+100000,IF(AND(E49&gt;=1800000,E49&lt;=3599999),ROUNDDOWN(E49/4,-3)*2.8-80000,IF(AND(E49&gt;=3600000,E49&lt;=6599999),ROUNDDOWN(E49/4,-3)*3.2-440000,IF(AND(E49&gt;=6600000,E49&lt;=8499999),ROUNDDOWN(E49*0.9-1100000,0),E49-1950000))))))))))</f>
        <v>0</v>
      </c>
      <c r="AC49" s="27">
        <f>IF(T17&gt;=1,AB49*3/10,AB49)</f>
        <v>0</v>
      </c>
      <c r="AD49" s="27" t="str">
        <f>IF(C17="","",ROUNDDOWN(IF(AND(X49&lt;65,K49&lt;=1299999),MAX(0,K49-600000),IF(AND(X49&lt;65,K49&gt;=1300000,K49&lt;=4099999),K49*0.75-275000,IF(AND(X49&lt;65,K49&gt;=4100000,K49&lt;=7699999),K49*0.85-685000,IF(AND(X49&lt;65,K49&gt;=7700000,K49&lt;=9999999),K49*0.95-1455000,IF(AND(X49&lt;65,K49&gt;=10000000),K49-1955000,IF(AND(X49&gt;=65,K49&lt;=3299999),MAX(0,K49-1100000),IF(AND(X49&gt;=65,K49&gt;=3300000,K49&lt;=4099999),K49*0.75-275000,IF(AND(X49&gt;=65,K49&gt;=4100000,K49&lt;=7699999),K49*0.85-685000,IF(AND(X49&gt;=65,K49&gt;=7700000,K49&lt;=9999999),K49*0.95-1455000,K49-1955000))))))))),0))</f>
        <v/>
      </c>
      <c r="AE49" s="27" t="str">
        <f>IF(C17="","",IF((AC49+AD49)&gt;=100000,-(MIN(AB49,100000)+MIN(AD49,100000)-100000),0))</f>
        <v/>
      </c>
      <c r="AF49" s="27">
        <f>E49-H49</f>
        <v>0</v>
      </c>
      <c r="AG49" s="27">
        <f t="shared" ref="AG49:AG56" si="25">IF(AF49&lt;=550999,0,IF(AND(AF49&gt;=551000,AF49&lt;=1618999),AF49-550000,IF(AND(AF49&gt;=1619000,AF49&lt;=1619999),1619000,IF(AND(AF49&gt;=1620000,AF49&lt;=1621999),1070000,IF(AND(AF49&gt;=1622000,AF49&lt;=1623999),1072000,IF(AND(AF49&gt;=1624000,AF49&lt;=1627999),1074000,IF(AND(AF49&gt;=1628000,AF49&lt;=1799999),ROUNDDOWN(AF49/4,-3)*2.4+100000,IF(AND(AF49&gt;=1800000,AF49&lt;=3599999),ROUNDDOWN(AF49/4,-3)*2.8-80000,IF(AND(AF49&gt;=3600000,AF49&lt;=6599999),ROUNDDOWN(AF49/4,-3)*3.2-440000,IF(AND(AF49&gt;=6600000,AF49&lt;=8499999),ROUNDDOWN(AF49*0.9-1100000,0),AF49-1950000))))))))))</f>
        <v>0</v>
      </c>
      <c r="AH49" s="27">
        <f>IF(T17&gt;=1,AG49*3/10,AG49)</f>
        <v>0</v>
      </c>
      <c r="AI49" s="27" t="str">
        <f>IF(C17="","",AD49+AK49)</f>
        <v/>
      </c>
      <c r="AJ49" s="27" t="str">
        <f>IF(C17="","",IF((AC49+AI49)&gt;=100000,-(MIN(AB49,100000)+MIN(AI49,100000)-100000),0))</f>
        <v/>
      </c>
      <c r="AK49" s="27" t="str">
        <f>IF(C17="","",IF(AND(X49&gt;=65,AD49&gt;=150000),-150000,IF(AND(X49&gt;=65,AD49&lt;150000),-AD49,0)))</f>
        <v/>
      </c>
      <c r="AL49" s="27" t="str">
        <f>IF(C17="","",N49+Q49+T49+AH49+AI49+AJ49+AK49)</f>
        <v/>
      </c>
      <c r="AM49" s="30" t="str">
        <f>IF(C17="","",DATE(YEAR(E17)+40,MONTH(E17),DAY(E17)-1))</f>
        <v/>
      </c>
      <c r="AN49" s="30" t="str">
        <f>IF(C17="","",DATE(YEAR(E17)+65,MONTH(E17),DAY(E17)))</f>
        <v/>
      </c>
      <c r="AO49" s="29">
        <f>COUNTIF(G18:R18,"○")</f>
        <v>0</v>
      </c>
      <c r="AP49" s="30" t="str">
        <f>IF(C17="","",DATE(YEAR(E17)+75,MONTH(E17),DAY(E17)-1))</f>
        <v/>
      </c>
      <c r="AQ49" s="30" t="str">
        <f>IF(C17="","",DATE(YEAR(E17)+80,MONTH(E17),DAY(E17)-1))</f>
        <v/>
      </c>
      <c r="AR49" s="30" t="str">
        <f>IF(C17="","",DATE(YEAR(E17)+83,MONTH(E17),DAY(E17)-1))</f>
        <v/>
      </c>
      <c r="AS49" s="212"/>
      <c r="AT49" s="212"/>
    </row>
    <row r="50" spans="2:46" ht="31.5" customHeight="1" x14ac:dyDescent="0.45">
      <c r="B50" s="56" t="s">
        <v>15</v>
      </c>
      <c r="C50" s="208">
        <f>C20</f>
        <v>0</v>
      </c>
      <c r="D50" s="208"/>
      <c r="E50" s="211"/>
      <c r="F50" s="211"/>
      <c r="G50" s="211"/>
      <c r="H50" s="200"/>
      <c r="I50" s="200"/>
      <c r="J50" s="200"/>
      <c r="K50" s="200"/>
      <c r="L50" s="200"/>
      <c r="M50" s="200"/>
      <c r="N50" s="200"/>
      <c r="O50" s="200"/>
      <c r="P50" s="200"/>
      <c r="Q50" s="200"/>
      <c r="R50" s="200"/>
      <c r="S50" s="200"/>
      <c r="T50" s="200"/>
      <c r="U50" s="200"/>
      <c r="V50" s="293"/>
      <c r="W50" s="32"/>
      <c r="X50" s="26" t="str">
        <f>IF(C20="","",DATEDIF(E20,$AA$5,"Y"))</f>
        <v/>
      </c>
      <c r="Y50" s="28" t="str">
        <f>IF(E20="","",DATEDIF(E20,$AA$6,"Y"))</f>
        <v/>
      </c>
      <c r="Z50" s="27" t="str">
        <f>IF(C20="","",IF(AND(OR(AF50&gt;550000,AD50&gt;=1),S22&gt;=1),"○",""))</f>
        <v/>
      </c>
      <c r="AA50" s="29">
        <f>COUNTIF(G20:R20,"国保")</f>
        <v>0</v>
      </c>
      <c r="AB50" s="33">
        <f t="shared" si="24"/>
        <v>0</v>
      </c>
      <c r="AC50" s="27">
        <f>IF(T20&gt;=1,AB50*3/10,AB50)</f>
        <v>0</v>
      </c>
      <c r="AD50" s="27" t="str">
        <f>IF(C20="","",ROUNDDOWN(IF(AND(X50&lt;65,K50&lt;=1299999),MAX(0,K50-600000),IF(AND(X50&lt;65,K50&gt;=1300000,K50&lt;=4099999),K50*0.75-275000,IF(AND(X50&lt;65,K50&gt;=4100000,K50&lt;=7699999),K50*0.85-685000,IF(AND(X50&lt;65,K50&gt;=7700000,K50&lt;=9999999),K50*0.95-1455000,IF(AND(X50&lt;65,K50&gt;=10000000),K50-1955000,IF(AND(X50&gt;=65,K50&lt;=3299999),MAX(0,K50-1100000),IF(AND(X50&gt;=65,K50&gt;=3300000,K50&lt;=4099999),K50*0.75-275000,IF(AND(X50&gt;=65,K50&gt;=4100000,K50&lt;=7699999),K50*0.85-685000,IF(AND(X50&gt;=65,K50&gt;=7700000,K50&lt;=9999999),K50*0.95-1455000,K50-1955000))))))))),0))</f>
        <v/>
      </c>
      <c r="AE50" s="27" t="str">
        <f>IF(OR(C20="",S21="○"),"",IF((AC50+AD50)&gt;=100000,-(MIN(AB50,100000)+MIN(AD50,100000)-100000),0))</f>
        <v/>
      </c>
      <c r="AF50" s="27">
        <f>E50-H50</f>
        <v>0</v>
      </c>
      <c r="AG50" s="27">
        <f t="shared" si="25"/>
        <v>0</v>
      </c>
      <c r="AH50" s="27">
        <f>IF(T20&gt;=1,AG50*3/10,AG50)</f>
        <v>0</v>
      </c>
      <c r="AI50" s="27" t="str">
        <f>IF(C20="","",AD50+AK50)</f>
        <v/>
      </c>
      <c r="AJ50" s="27" t="str">
        <f>IF(C20="","",IF((AC50+AI50)&gt;=100000,-(MIN(AB50,100000)+MIN(AI50,100000)-100000),0))</f>
        <v/>
      </c>
      <c r="AK50" s="27" t="str">
        <f>IF(C20="","",IF(AND(X50&gt;=65,AD50&gt;=150000),-150000,IF(AND(X50&gt;=65,AD50&lt;150000),-AD50,0)))</f>
        <v/>
      </c>
      <c r="AL50" s="27" t="str">
        <f>IF(C20="","",N50+Q50+T50+AH50+AI50+AJ50+AK50)</f>
        <v/>
      </c>
      <c r="AM50" s="30" t="str">
        <f>IF(C20="","",DATE(YEAR(E20)+40,MONTH(E20),DAY(E20)-1))</f>
        <v/>
      </c>
      <c r="AN50" s="30" t="str">
        <f>IF(C20="","",DATE(YEAR(E20)+65,MONTH(E20),DAY(E20)))</f>
        <v/>
      </c>
      <c r="AO50" s="29">
        <f>COUNTIF(G21:R21,"○")</f>
        <v>0</v>
      </c>
      <c r="AP50" s="30" t="str">
        <f>IF(C20="","",DATE(YEAR(E20)+75,MONTH(E20),DAY(E20)-1))</f>
        <v/>
      </c>
      <c r="AQ50" s="30" t="str">
        <f>IF(C20="","",DATE(YEAR(E20)+80,MONTH(E20),DAY(E20)-1))</f>
        <v/>
      </c>
      <c r="AR50" s="30" t="str">
        <f>IF(C20="","",DATE(YEAR(E20)+83,MONTH(E20),DAY(E20)-1))</f>
        <v/>
      </c>
      <c r="AS50" s="212"/>
      <c r="AT50" s="212"/>
    </row>
    <row r="51" spans="2:46" ht="31.5" customHeight="1" x14ac:dyDescent="0.45">
      <c r="B51" s="56" t="s">
        <v>16</v>
      </c>
      <c r="C51" s="208">
        <f>C23</f>
        <v>0</v>
      </c>
      <c r="D51" s="208"/>
      <c r="E51" s="211"/>
      <c r="F51" s="211"/>
      <c r="G51" s="211"/>
      <c r="H51" s="200"/>
      <c r="I51" s="200"/>
      <c r="J51" s="200"/>
      <c r="K51" s="200"/>
      <c r="L51" s="200"/>
      <c r="M51" s="200"/>
      <c r="N51" s="200"/>
      <c r="O51" s="200"/>
      <c r="P51" s="200"/>
      <c r="Q51" s="200"/>
      <c r="R51" s="200"/>
      <c r="S51" s="200"/>
      <c r="T51" s="200"/>
      <c r="U51" s="200"/>
      <c r="V51" s="293"/>
      <c r="W51" s="32"/>
      <c r="X51" s="26" t="str">
        <f>IF(C23="","",DATEDIF(E23,$AA$5,"Y"))</f>
        <v/>
      </c>
      <c r="Y51" s="28" t="str">
        <f>IF(E23="","",DATEDIF(E23,$AA$6,"Y"))</f>
        <v/>
      </c>
      <c r="Z51" s="27" t="str">
        <f>IF(C23="","",IF(AND(OR(AF51&gt;550000,AD51&gt;=1),S25&gt;=1),"○",""))</f>
        <v/>
      </c>
      <c r="AA51" s="29">
        <f>COUNTIF(G23:R23,"国保")</f>
        <v>0</v>
      </c>
      <c r="AB51" s="33">
        <f t="shared" si="24"/>
        <v>0</v>
      </c>
      <c r="AC51" s="27">
        <f>IF(T23&gt;=1,AB51*3/10,AB51)</f>
        <v>0</v>
      </c>
      <c r="AD51" s="27" t="str">
        <f>IF(C23="","",ROUNDDOWN(IF(AND(X51&lt;65,K51&lt;=1299999),MAX(0,K51-600000),IF(AND(X51&lt;65,K51&gt;=1300000,K51&lt;=4099999),K51*0.75-275000,IF(AND(X51&lt;65,K51&gt;=4100000,K51&lt;=7699999),K51*0.85-685000,IF(AND(X51&lt;65,K51&gt;=7700000,K51&lt;=9999999),K51*0.95-1455000,IF(AND(X51&lt;65,K51&gt;=10000000),K51-1955000,IF(AND(X51&gt;=65,K51&lt;=3299999),MAX(0,K51-1100000),IF(AND(X51&gt;=65,K51&gt;=3300000,K51&lt;=4099999),K51*0.75-275000,IF(AND(X51&gt;=65,K51&gt;=4100000,K51&lt;=7699999),K51*0.85-685000,IF(AND(X51&gt;=65,K51&gt;=7700000,K51&lt;=9999999),K51*0.95-1455000,K51-1955000))))))))),0))</f>
        <v/>
      </c>
      <c r="AE51" s="27" t="str">
        <f>IF(C23="","",IF((AC51+AD51)&gt;=100000,-(MIN(AB51,100000)+MIN(AD51,100000)-100000),0))</f>
        <v/>
      </c>
      <c r="AF51" s="27">
        <f t="shared" ref="AF51:AF56" si="26">E51-H51</f>
        <v>0</v>
      </c>
      <c r="AG51" s="27">
        <f t="shared" si="25"/>
        <v>0</v>
      </c>
      <c r="AH51" s="27">
        <f>IF(T23&gt;=1,AG51*3/10,AG51)</f>
        <v>0</v>
      </c>
      <c r="AI51" s="27" t="str">
        <f>IF(C23="","",AD51+AK51)</f>
        <v/>
      </c>
      <c r="AJ51" s="27" t="str">
        <f>IF(C23="","",IF((AC51+AI51)&gt;=100000,-(MIN(AB51,100000)+MIN(AI51,100000)-100000),0))</f>
        <v/>
      </c>
      <c r="AK51" s="27" t="str">
        <f>IF(C23="","",IF(AND(X51&gt;=65,AD51&gt;=150000),-150000,IF(AND(X51&gt;=65,AD51&lt;150000),-AD51,0)))</f>
        <v/>
      </c>
      <c r="AL51" s="27" t="str">
        <f>IF(C23="","",N51+Q51+T51+AH51+AI51+AJ51+AK51)</f>
        <v/>
      </c>
      <c r="AM51" s="30" t="str">
        <f>IF(C23="","",DATE(YEAR(E23)+40,MONTH(E23),DAY(E23)-1))</f>
        <v/>
      </c>
      <c r="AN51" s="30" t="str">
        <f>IF(C23="","",DATE(YEAR(E23)+65,MONTH(E23),DAY(E23)))</f>
        <v/>
      </c>
      <c r="AO51" s="29">
        <f>COUNTIF(G24:R24,"○")</f>
        <v>0</v>
      </c>
      <c r="AP51" s="30" t="str">
        <f>IF(C23="","",DATE(YEAR(E23)+75,MONTH(E23),DAY(E23)-1))</f>
        <v/>
      </c>
      <c r="AQ51" s="30" t="str">
        <f>IF(C23="","",DATE(YEAR(E23)+80,MONTH(E23),DAY(E23)-1))</f>
        <v/>
      </c>
      <c r="AR51" s="30" t="str">
        <f>IF(C23="","",DATE(YEAR(E23)+83,MONTH(E23),DAY(E23)-1))</f>
        <v/>
      </c>
      <c r="AS51" s="212"/>
      <c r="AT51" s="212"/>
    </row>
    <row r="52" spans="2:46" ht="31.5" customHeight="1" x14ac:dyDescent="0.45">
      <c r="B52" s="56" t="s">
        <v>17</v>
      </c>
      <c r="C52" s="208">
        <f>C26</f>
        <v>0</v>
      </c>
      <c r="D52" s="208"/>
      <c r="E52" s="211"/>
      <c r="F52" s="211"/>
      <c r="G52" s="211"/>
      <c r="H52" s="200"/>
      <c r="I52" s="200"/>
      <c r="J52" s="200"/>
      <c r="K52" s="200"/>
      <c r="L52" s="200"/>
      <c r="M52" s="200"/>
      <c r="N52" s="200"/>
      <c r="O52" s="200"/>
      <c r="P52" s="200"/>
      <c r="Q52" s="200"/>
      <c r="R52" s="200"/>
      <c r="S52" s="200"/>
      <c r="T52" s="200"/>
      <c r="U52" s="200"/>
      <c r="V52" s="293"/>
      <c r="W52" s="32"/>
      <c r="X52" s="26" t="str">
        <f>IF(C26="","",DATEDIF(E26,$AA$5,"Y"))</f>
        <v/>
      </c>
      <c r="Y52" s="28" t="str">
        <f>IF(E26="","",DATEDIF(E26,$AA$6,"Y"))</f>
        <v/>
      </c>
      <c r="Z52" s="27" t="str">
        <f>IF(C26="","",IF(AND(OR(AF52&gt;550000,AD52&gt;=1),S28&gt;=1),"○",""))</f>
        <v/>
      </c>
      <c r="AA52" s="29">
        <f>COUNTIF(G26:R26,"国保")</f>
        <v>0</v>
      </c>
      <c r="AB52" s="33">
        <f t="shared" si="24"/>
        <v>0</v>
      </c>
      <c r="AC52" s="27">
        <f>IF(T26&gt;=1,AB52*3/10,AB52)</f>
        <v>0</v>
      </c>
      <c r="AD52" s="27" t="str">
        <f>IF(C26="","",ROUNDDOWN(IF(AND(X52&lt;65,K52&lt;=1299999),MAX(0,K52-600000),IF(AND(X52&lt;65,K52&gt;=1300000,K52&lt;=4099999),K52*0.75-275000,IF(AND(X52&lt;65,K52&gt;=4100000,K52&lt;=7699999),K52*0.85-685000,IF(AND(X52&lt;65,K52&gt;=7700000,K52&lt;=9999999),K52*0.95-1455000,IF(AND(X52&lt;65,K52&gt;=10000000),K52-1955000,IF(AND(X52&gt;=65,K52&lt;=3299999),MAX(0,K52-1100000),IF(AND(X52&gt;=65,K52&gt;=3300000,K52&lt;=4099999),K52*0.75-275000,IF(AND(X52&gt;=65,K52&gt;=4100000,K52&lt;=7699999),K52*0.85-685000,IF(AND(X52&gt;=65,K52&gt;=7700000,K52&lt;=9999999),K52*0.95-1455000,K52-1955000))))))))),0))</f>
        <v/>
      </c>
      <c r="AE52" s="27" t="str">
        <f>IF(C26="","",IF((AC52+AD52)&gt;=100000,-(MIN(AB52,100000)+MIN(AD52,100000)-100000),0))</f>
        <v/>
      </c>
      <c r="AF52" s="27">
        <f t="shared" si="26"/>
        <v>0</v>
      </c>
      <c r="AG52" s="27">
        <f t="shared" si="25"/>
        <v>0</v>
      </c>
      <c r="AH52" s="27">
        <f>IF(T26&gt;=1,AG52*3/10,AG52)</f>
        <v>0</v>
      </c>
      <c r="AI52" s="27" t="str">
        <f>IF(C26="","",AD52+AK52)</f>
        <v/>
      </c>
      <c r="AJ52" s="27" t="str">
        <f>IF(C26="","",IF((AC52+AI52)&gt;=100000,-(MIN(AB52,100000)+MIN(AI52,100000)-100000),0))</f>
        <v/>
      </c>
      <c r="AK52" s="27" t="str">
        <f>IF(C26="","",IF(AND(X52&gt;=65,AD52&gt;=150000),-150000,IF(AND(X52&gt;=65,AD52&lt;150000),-AD52,0)))</f>
        <v/>
      </c>
      <c r="AL52" s="27" t="str">
        <f>IF(C26="","",N52+Q52+T52+AH52+AI52+AJ52+AK52)</f>
        <v/>
      </c>
      <c r="AM52" s="30" t="str">
        <f>IF(C26="","",DATE(YEAR(E26)+40,MONTH(E26),DAY(E26)-1))</f>
        <v/>
      </c>
      <c r="AN52" s="30" t="str">
        <f>IF(C26="","",DATE(YEAR(E26)+65,MONTH(E26),DAY(E26)))</f>
        <v/>
      </c>
      <c r="AO52" s="29">
        <f>COUNTIF(G27:R27,"○")</f>
        <v>0</v>
      </c>
      <c r="AP52" s="30" t="str">
        <f>IF(C26="","",DATE(YEAR(E26)+75,MONTH(E26),DAY(E26)-1))</f>
        <v/>
      </c>
      <c r="AQ52" s="30" t="str">
        <f>IF(C26="","",DATE(YEAR(E26)+80,MONTH(E26),DAY(E26)-1))</f>
        <v/>
      </c>
      <c r="AR52" s="30" t="str">
        <f>IF(C26="","",DATE(YEAR(E26)+83,MONTH(E26),DAY(E26)-1))</f>
        <v/>
      </c>
      <c r="AS52" s="212"/>
      <c r="AT52" s="212"/>
    </row>
    <row r="53" spans="2:46" ht="31.5" customHeight="1" x14ac:dyDescent="0.45">
      <c r="B53" s="56" t="s">
        <v>18</v>
      </c>
      <c r="C53" s="208">
        <f>C29</f>
        <v>0</v>
      </c>
      <c r="D53" s="208"/>
      <c r="E53" s="211"/>
      <c r="F53" s="211"/>
      <c r="G53" s="211"/>
      <c r="H53" s="200"/>
      <c r="I53" s="200"/>
      <c r="J53" s="200"/>
      <c r="K53" s="200"/>
      <c r="L53" s="200"/>
      <c r="M53" s="200"/>
      <c r="N53" s="200"/>
      <c r="O53" s="200"/>
      <c r="P53" s="200"/>
      <c r="Q53" s="200"/>
      <c r="R53" s="200"/>
      <c r="S53" s="200"/>
      <c r="T53" s="200"/>
      <c r="U53" s="200"/>
      <c r="V53" s="293"/>
      <c r="W53" s="32"/>
      <c r="X53" s="26" t="str">
        <f>IF(C29="","",DATEDIF(E29,$AA$5,"Y"))</f>
        <v/>
      </c>
      <c r="Y53" s="28" t="str">
        <f>IF(E29="","",DATEDIF(E29,$AA$6,"Y"))</f>
        <v/>
      </c>
      <c r="Z53" s="27" t="str">
        <f>IF(C29="","",IF(AND(OR(AF53&gt;550000,AD53&gt;=1),S31&gt;=1),"○",""))</f>
        <v/>
      </c>
      <c r="AA53" s="29">
        <f>COUNTIF(G29:R29,"国保")</f>
        <v>0</v>
      </c>
      <c r="AB53" s="33">
        <f t="shared" si="24"/>
        <v>0</v>
      </c>
      <c r="AC53" s="27">
        <f>IF(T29&gt;=1,AB53*3/10,AB53)</f>
        <v>0</v>
      </c>
      <c r="AD53" s="27" t="str">
        <f>IF(C29="","",ROUNDDOWN(IF(AND(X53&lt;65,K53&lt;=1299999),MAX(0,K53-600000),IF(AND(X53&lt;65,K53&gt;=1300000,K53&lt;=4099999),K53*0.75-275000,IF(AND(X53&lt;65,K53&gt;=4100000,K53&lt;=7699999),K53*0.85-685000,IF(AND(X53&lt;65,K53&gt;=7700000,K53&lt;=9999999),K53*0.95-1455000,IF(AND(X53&lt;65,K53&gt;=10000000),K53-1955000,IF(AND(X53&gt;=65,K53&lt;=3299999),MAX(0,K53-1100000),IF(AND(X53&gt;=65,K53&gt;=3300000,K53&lt;=4099999),K53*0.75-275000,IF(AND(X53&gt;=65,K53&gt;=4100000,K53&lt;=7699999),K53*0.85-685000,IF(AND(X53&gt;=65,K53&gt;=7700000,K53&lt;=9999999),K53*0.95-1455000,K53-1955000))))))))),0))</f>
        <v/>
      </c>
      <c r="AE53" s="27" t="str">
        <f>IF(C29="","",IF((AC53+AD53)&gt;=100000,-(MIN(AB53,100000)+MIN(AD53,100000)-100000),0))</f>
        <v/>
      </c>
      <c r="AF53" s="27">
        <f t="shared" si="26"/>
        <v>0</v>
      </c>
      <c r="AG53" s="27">
        <f t="shared" si="25"/>
        <v>0</v>
      </c>
      <c r="AH53" s="27">
        <f>IF(T29&gt;=1,AG53*3/10,AG53)</f>
        <v>0</v>
      </c>
      <c r="AI53" s="27" t="str">
        <f>IF(C29="","",AD53+AK53)</f>
        <v/>
      </c>
      <c r="AJ53" s="27" t="str">
        <f>IF(C29="","",IF((AC53+AI53)&gt;=100000,-(MIN(AB53,100000)+MIN(AI53,100000)-100000),0))</f>
        <v/>
      </c>
      <c r="AK53" s="27" t="str">
        <f>IF(C29="","",IF(AND(X53&gt;=65,AD53&gt;=150000),-150000,IF(AND(X53&gt;=65,AD53&lt;150000),-AD53,0)))</f>
        <v/>
      </c>
      <c r="AL53" s="27" t="str">
        <f>IF(C29="","",N53+Q53+T53+AH53+AI53+AJ53+AK53)</f>
        <v/>
      </c>
      <c r="AM53" s="30" t="str">
        <f>IF(C29="","",DATE(YEAR(E29)+40,MONTH(E29),DAY(E29)-1))</f>
        <v/>
      </c>
      <c r="AN53" s="30" t="str">
        <f>IF(C29="","",DATE(YEAR(E29)+65,MONTH(E29),DAY(E29)))</f>
        <v/>
      </c>
      <c r="AO53" s="29">
        <f>COUNTIF(G30:R30,"○")</f>
        <v>0</v>
      </c>
      <c r="AP53" s="30" t="str">
        <f>IF(C29="","",DATE(YEAR(E29)+75,MONTH(E29),DAY(E29)-1))</f>
        <v/>
      </c>
      <c r="AQ53" s="30" t="str">
        <f>IF(C29="","",DATE(YEAR(E29)+80,MONTH(E29),DAY(E29)-1))</f>
        <v/>
      </c>
      <c r="AR53" s="30" t="str">
        <f>IF(C29="","",DATE(YEAR(E29)+83,MONTH(E29),DAY(E29)-1))</f>
        <v/>
      </c>
      <c r="AS53" s="212"/>
      <c r="AT53" s="212"/>
    </row>
    <row r="54" spans="2:46" ht="31.5" customHeight="1" x14ac:dyDescent="0.45">
      <c r="B54" s="56" t="s">
        <v>19</v>
      </c>
      <c r="C54" s="208">
        <f>C32</f>
        <v>0</v>
      </c>
      <c r="D54" s="208"/>
      <c r="E54" s="211"/>
      <c r="F54" s="211"/>
      <c r="G54" s="211"/>
      <c r="H54" s="200"/>
      <c r="I54" s="200"/>
      <c r="J54" s="200"/>
      <c r="K54" s="200"/>
      <c r="L54" s="200"/>
      <c r="M54" s="200"/>
      <c r="N54" s="200"/>
      <c r="O54" s="200"/>
      <c r="P54" s="200"/>
      <c r="Q54" s="200"/>
      <c r="R54" s="200"/>
      <c r="S54" s="200"/>
      <c r="T54" s="200"/>
      <c r="U54" s="200"/>
      <c r="V54" s="293"/>
      <c r="W54" s="32"/>
      <c r="X54" s="26" t="str">
        <f>IF(C32="","",DATEDIF(E32,$AA$5,"Y"))</f>
        <v/>
      </c>
      <c r="Y54" s="28" t="str">
        <f>IF(E32="","",DATEDIF(E32,$AA$6,"Y"))</f>
        <v/>
      </c>
      <c r="Z54" s="27" t="str">
        <f>IF(C32="","",IF(AND(OR(AF54&gt;550000,AD54&gt;=1),S34&gt;=1),"○",""))</f>
        <v/>
      </c>
      <c r="AA54" s="29">
        <f>COUNTIF(G32:R32,"国保")</f>
        <v>0</v>
      </c>
      <c r="AB54" s="33">
        <f t="shared" si="24"/>
        <v>0</v>
      </c>
      <c r="AC54" s="27">
        <f>IF(T32&gt;=1,AB54*3/10,AB54)</f>
        <v>0</v>
      </c>
      <c r="AD54" s="27" t="str">
        <f>IF(C32="","",ROUNDDOWN(IF(AND(X54&lt;65,K54&lt;=1299999),MAX(0,K54-600000),IF(AND(X54&lt;65,K54&gt;=1300000,K54&lt;=4099999),K54*0.75-275000,IF(AND(X54&lt;65,K54&gt;=4100000,K54&lt;=7699999),K54*0.85-685000,IF(AND(X54&lt;65,K54&gt;=7700000,K54&lt;=9999999),K54*0.95-1455000,IF(AND(X54&lt;65,K54&gt;=10000000),K54-1955000,IF(AND(X54&gt;=65,K54&lt;=3299999),MAX(0,K54-1100000),IF(AND(X54&gt;=65,K54&gt;=3300000,K54&lt;=4099999),K54*0.75-275000,IF(AND(X54&gt;=65,K54&gt;=4100000,K54&lt;=7699999),K54*0.85-685000,IF(AND(X54&gt;=65,K54&gt;=7700000,K54&lt;=9999999),K54*0.95-1455000,K54-1955000))))))))),0))</f>
        <v/>
      </c>
      <c r="AE54" s="27" t="str">
        <f>IF(C32="","",IF((AC54+AD54)&gt;=100000,-(MIN(AB54,100000)+MIN(AD54,100000)-100000),0))</f>
        <v/>
      </c>
      <c r="AF54" s="27">
        <f t="shared" si="26"/>
        <v>0</v>
      </c>
      <c r="AG54" s="27">
        <f t="shared" si="25"/>
        <v>0</v>
      </c>
      <c r="AH54" s="27">
        <f>IF(T32&gt;=1,AG54*3/10,AG54)</f>
        <v>0</v>
      </c>
      <c r="AI54" s="27" t="str">
        <f>IF(C32="","",AD54+AK54)</f>
        <v/>
      </c>
      <c r="AJ54" s="27" t="str">
        <f>IF(C32="","",IF((AC54+AI54)&gt;=100000,-(MIN(AB54,100000)+MIN(AI54,100000)-100000),0))</f>
        <v/>
      </c>
      <c r="AK54" s="27" t="str">
        <f>IF(C32="","",IF(AND(X54&gt;=65,AD54&gt;=150000),-150000,IF(AND(X54&gt;=65,AD54&lt;150000),-AD54,0)))</f>
        <v/>
      </c>
      <c r="AL54" s="27" t="str">
        <f>IF(C32="","",N54+Q54+T54+AH54+AI54+AJ54+AK54)</f>
        <v/>
      </c>
      <c r="AM54" s="30" t="str">
        <f>IF(C32="","",DATE(YEAR(E32)+40,MONTH(E32),DAY(E32)-1))</f>
        <v/>
      </c>
      <c r="AN54" s="30" t="str">
        <f>IF(C32="","",DATE(YEAR(E32)+65,MONTH(E32),DAY(E32)))</f>
        <v/>
      </c>
      <c r="AO54" s="29">
        <f>COUNTIF(G33:R33,"○")</f>
        <v>0</v>
      </c>
      <c r="AP54" s="30" t="str">
        <f>IF(C32="","",DATE(YEAR(E32)+75,MONTH(E32),DAY(E32)-1))</f>
        <v/>
      </c>
      <c r="AQ54" s="30" t="str">
        <f>IF(C32="","",DATE(YEAR(E32)+80,MONTH(E32),DAY(E32)-1))</f>
        <v/>
      </c>
      <c r="AR54" s="30" t="str">
        <f>IF(C32="","",DATE(YEAR(E32)+83,MONTH(E32),DAY(E32)-1))</f>
        <v/>
      </c>
      <c r="AS54" s="212"/>
      <c r="AT54" s="212"/>
    </row>
    <row r="55" spans="2:46" ht="31.5" customHeight="1" x14ac:dyDescent="0.45">
      <c r="B55" s="56" t="s">
        <v>20</v>
      </c>
      <c r="C55" s="208">
        <f>C35</f>
        <v>0</v>
      </c>
      <c r="D55" s="208"/>
      <c r="E55" s="211"/>
      <c r="F55" s="211"/>
      <c r="G55" s="211"/>
      <c r="H55" s="200"/>
      <c r="I55" s="200"/>
      <c r="J55" s="200"/>
      <c r="K55" s="200"/>
      <c r="L55" s="200"/>
      <c r="M55" s="200"/>
      <c r="N55" s="200"/>
      <c r="O55" s="200"/>
      <c r="P55" s="200"/>
      <c r="Q55" s="200"/>
      <c r="R55" s="200"/>
      <c r="S55" s="200"/>
      <c r="T55" s="200"/>
      <c r="U55" s="200"/>
      <c r="V55" s="293"/>
      <c r="W55" s="32"/>
      <c r="X55" s="26" t="str">
        <f>IF(C35="","",DATEDIF(E35,$AA$5,"Y"))</f>
        <v/>
      </c>
      <c r="Y55" s="28" t="str">
        <f>IF(E35="","",DATEDIF(E35,$AA$6,"Y"))</f>
        <v/>
      </c>
      <c r="Z55" s="27" t="str">
        <f>IF(C35="","",IF(AND(OR(AF55&gt;550000,AD55&gt;=1),S37&gt;=1),"○",""))</f>
        <v/>
      </c>
      <c r="AA55" s="29">
        <f>COUNTIF(G35:R35,"国保")</f>
        <v>0</v>
      </c>
      <c r="AB55" s="33">
        <f t="shared" si="24"/>
        <v>0</v>
      </c>
      <c r="AC55" s="27">
        <f>IF(T35&gt;=1,AB55*3/10,AB55)</f>
        <v>0</v>
      </c>
      <c r="AD55" s="27" t="str">
        <f>IF(C35="","",ROUNDDOWN(IF(AND(X55&lt;65,K55&lt;=1299999),MAX(0,K55-600000),IF(AND(X55&lt;65,K55&gt;=1300000,K55&lt;=4099999),K55*0.75-275000,IF(AND(X55&lt;65,K55&gt;=4100000,K55&lt;=7699999),K55*0.85-685000,IF(AND(X55&lt;65,K55&gt;=7700000,K55&lt;=9999999),K55*0.95-1455000,IF(AND(X55&lt;65,K55&gt;=10000000),K55-1955000,IF(AND(X55&gt;=65,K55&lt;=3299999),MAX(0,K55-1100000),IF(AND(X55&gt;=65,K55&gt;=3300000,K55&lt;=4099999),K55*0.75-275000,IF(AND(X55&gt;=65,K55&gt;=4100000,K55&lt;=7699999),K55*0.85-685000,IF(AND(X55&gt;=65,K55&gt;=7700000,K55&lt;=9999999),K55*0.95-1455000,K55-1955000))))))))),0))</f>
        <v/>
      </c>
      <c r="AE55" s="27" t="str">
        <f>IF(C35="","",IF((AC55+AD55)&gt;=100000,-(MIN(AB55,100000)+MIN(AD55,100000)-100000),0))</f>
        <v/>
      </c>
      <c r="AF55" s="27">
        <f t="shared" si="26"/>
        <v>0</v>
      </c>
      <c r="AG55" s="27">
        <f t="shared" si="25"/>
        <v>0</v>
      </c>
      <c r="AH55" s="27">
        <f>IF(T35&gt;=1,AG55*3/10,AG55)</f>
        <v>0</v>
      </c>
      <c r="AI55" s="27" t="str">
        <f>IF(C35="","",AD55+AK55)</f>
        <v/>
      </c>
      <c r="AJ55" s="27" t="str">
        <f>IF(C35="","",IF((AC55+AI55)&gt;=100000,-(MIN(AB55,100000)+MIN(AI55,100000)-100000),0))</f>
        <v/>
      </c>
      <c r="AK55" s="27" t="str">
        <f>IF(C35="","",IF(AND(X55&gt;=65,AD55&gt;=150000),-150000,IF(AND(X55&gt;=65,AD55&lt;150000),-AD55,0)))</f>
        <v/>
      </c>
      <c r="AL55" s="27" t="str">
        <f>IF(C35="","",N55+Q55+T55+AH55+AI55+AJ55+AK55)</f>
        <v/>
      </c>
      <c r="AM55" s="30" t="str">
        <f>IF(C35="","",DATE(YEAR(E35)+40,MONTH(E35),DAY(E35)-1))</f>
        <v/>
      </c>
      <c r="AN55" s="30" t="str">
        <f>IF(C35="","",DATE(YEAR(E35)+65,MONTH(E35),DAY(E35)))</f>
        <v/>
      </c>
      <c r="AO55" s="29">
        <f>COUNTIF(G36:R36,"○")</f>
        <v>0</v>
      </c>
      <c r="AP55" s="30" t="str">
        <f>IF(C35="","",DATE(YEAR(E35)+75,MONTH(E35),DAY(E35)-1))</f>
        <v/>
      </c>
      <c r="AQ55" s="30" t="str">
        <f>IF(C35="","",DATE(YEAR(E35)+80,MONTH(E35),DAY(E35)-1))</f>
        <v/>
      </c>
      <c r="AR55" s="30" t="str">
        <f>IF(C35="","",DATE(YEAR(E35)+83,MONTH(E35),DAY(E35)-1))</f>
        <v/>
      </c>
      <c r="AS55" s="212"/>
      <c r="AT55" s="212"/>
    </row>
    <row r="56" spans="2:46" ht="31.5" customHeight="1" thickBot="1" x14ac:dyDescent="0.5">
      <c r="B56" s="57" t="s">
        <v>21</v>
      </c>
      <c r="C56" s="202">
        <f>C38</f>
        <v>0</v>
      </c>
      <c r="D56" s="202"/>
      <c r="E56" s="290"/>
      <c r="F56" s="290"/>
      <c r="G56" s="290"/>
      <c r="H56" s="291"/>
      <c r="I56" s="291"/>
      <c r="J56" s="291"/>
      <c r="K56" s="291"/>
      <c r="L56" s="291"/>
      <c r="M56" s="291"/>
      <c r="N56" s="291"/>
      <c r="O56" s="291"/>
      <c r="P56" s="291"/>
      <c r="Q56" s="291"/>
      <c r="R56" s="291"/>
      <c r="S56" s="291"/>
      <c r="T56" s="291"/>
      <c r="U56" s="291"/>
      <c r="V56" s="292"/>
      <c r="W56" s="32"/>
      <c r="X56" s="26" t="str">
        <f>IF(C38="","",DATEDIF(E38,$AA$5,"Y"))</f>
        <v/>
      </c>
      <c r="Y56" s="28" t="str">
        <f>IF(E38="","",DATEDIF(E38,$AA$6,"Y"))</f>
        <v/>
      </c>
      <c r="Z56" s="27" t="str">
        <f>IF(C38="","",IF(AND(OR(AF56&gt;550000,AD56&gt;=1),T40&gt;=1),"○",""))</f>
        <v/>
      </c>
      <c r="AA56" s="29">
        <f>COUNTIF(G38:R38,"国保")</f>
        <v>0</v>
      </c>
      <c r="AB56" s="33">
        <f t="shared" si="24"/>
        <v>0</v>
      </c>
      <c r="AC56" s="27">
        <f>IF(T38&gt;=1,AB56*3/10,AB56)</f>
        <v>0</v>
      </c>
      <c r="AD56" s="27" t="str">
        <f>IF(C38="","",ROUNDDOWN(IF(AND(X56&lt;65,K56&lt;=1299999),MAX(0,K56-600000),IF(AND(X56&lt;65,K56&gt;=1300000,K56&lt;=4099999),K56*0.75-275000,IF(AND(X56&lt;65,K56&gt;=4100000,K56&lt;=7699999),K56*0.85-685000,IF(AND(X56&lt;65,K56&gt;=7700000,K56&lt;=9999999),K56*0.95-1455000,IF(AND(X56&lt;65,K56&gt;=10000000),K56-1955000,IF(AND(X56&gt;=65,K56&lt;=3299999),MAX(0,K56-1100000),IF(AND(X56&gt;=65,K56&gt;=3300000,K56&lt;=4099999),K56*0.75-275000,IF(AND(X56&gt;=65,K56&gt;=4100000,K56&lt;=7699999),K56*0.85-685000,IF(AND(X56&gt;=65,K56&gt;=7700000,K56&lt;=9999999),K56*0.95-1455000,K56-1955000))))))))),0))</f>
        <v/>
      </c>
      <c r="AE56" s="27" t="str">
        <f>IF(C38="","",IF((AC56+AD56)&gt;=100000,-(MIN(AB56,100000)+MIN(AD56,100000)-100000),0))</f>
        <v/>
      </c>
      <c r="AF56" s="27">
        <f t="shared" si="26"/>
        <v>0</v>
      </c>
      <c r="AG56" s="27">
        <f t="shared" si="25"/>
        <v>0</v>
      </c>
      <c r="AH56" s="27">
        <f>IF(T38&gt;=1,AG56*3/10,AG56)</f>
        <v>0</v>
      </c>
      <c r="AI56" s="27" t="str">
        <f>IF(C38="","",AD56+AK56)</f>
        <v/>
      </c>
      <c r="AJ56" s="27" t="str">
        <f>IF(C38="","",IF((AC56+AI56)&gt;=100000,-(MIN(AB56,100000)+MIN(AI56,100000)-100000),0))</f>
        <v/>
      </c>
      <c r="AK56" s="27" t="str">
        <f>IF(C38="","",IF(AND(X56&gt;=65,AD56&gt;=150000),-150000,IF(AND(X56&gt;=65,AD56&lt;150000),-AD56,0)))</f>
        <v/>
      </c>
      <c r="AL56" s="27" t="str">
        <f>IF(C38="","",N56+Q56+T56+AH56+AI56+AJ56+AK56)</f>
        <v/>
      </c>
      <c r="AM56" s="30" t="str">
        <f>IF(C38="","",DATE(YEAR(E38)+40,MONTH(E38),DAY(E38)-1))</f>
        <v/>
      </c>
      <c r="AN56" s="30" t="str">
        <f>IF(C38="","",DATE(YEAR(E38)+65,MONTH(E38),DAY(E38)))</f>
        <v/>
      </c>
      <c r="AO56" s="29">
        <f>COUNTIF(G39:R39,"○")</f>
        <v>0</v>
      </c>
      <c r="AP56" s="30" t="str">
        <f>IF(C38="","",DATE(YEAR(E38)+75,MONTH(E38),DAY(E38)-1))</f>
        <v/>
      </c>
      <c r="AQ56" s="30" t="str">
        <f>IF(C38="","",DATE(YEAR(E38)+80,MONTH(E38),DAY(E38)-1))</f>
        <v/>
      </c>
      <c r="AR56" s="30" t="str">
        <f>IF(C38="","",DATE(YEAR(E38)+83,MONTH(E38),DAY(E38)-1))</f>
        <v/>
      </c>
      <c r="AS56" s="212"/>
      <c r="AT56" s="212"/>
    </row>
    <row r="57" spans="2:46" ht="22.5" customHeight="1" thickBot="1" x14ac:dyDescent="0.5">
      <c r="B57" s="5"/>
      <c r="C57" s="45"/>
      <c r="D57" s="45"/>
      <c r="E57" s="16"/>
      <c r="F57" s="16"/>
      <c r="G57" s="16"/>
      <c r="H57" s="5"/>
      <c r="I57" s="5"/>
      <c r="J57" s="5"/>
      <c r="K57" s="5"/>
      <c r="L57" s="5"/>
      <c r="M57" s="5"/>
      <c r="N57" s="5"/>
      <c r="O57" s="5"/>
      <c r="P57" s="5"/>
      <c r="Q57" s="5"/>
      <c r="R57" s="5"/>
      <c r="U57" s="5"/>
      <c r="V57" s="5"/>
      <c r="W57" s="5"/>
      <c r="X57" s="5"/>
      <c r="Y57" s="16"/>
      <c r="Z57" s="16"/>
      <c r="AA57" s="16"/>
      <c r="AB57" s="16"/>
      <c r="AC57" s="16"/>
      <c r="AD57" s="15"/>
      <c r="AE57" s="16"/>
      <c r="AF57" s="16"/>
      <c r="AG57" s="16"/>
      <c r="AH57" s="16"/>
      <c r="AI57" s="16"/>
      <c r="AJ57" s="16"/>
      <c r="AK57" s="16"/>
      <c r="AL57" s="17"/>
      <c r="AM57" s="5"/>
      <c r="AN57" s="8"/>
      <c r="AO57" s="8"/>
      <c r="AP57" s="5"/>
      <c r="AQ57" s="8"/>
      <c r="AR57" s="8"/>
      <c r="AS57" s="8"/>
      <c r="AT57" s="5"/>
    </row>
    <row r="58" spans="2:46" ht="30.75" customHeight="1" thickBot="1" x14ac:dyDescent="0.5">
      <c r="B58" s="179" t="s">
        <v>89</v>
      </c>
      <c r="C58" s="180"/>
      <c r="D58" s="180"/>
      <c r="E58" s="180"/>
      <c r="F58" s="180"/>
      <c r="G58" s="180"/>
      <c r="H58" s="180"/>
      <c r="I58" s="180"/>
      <c r="J58" s="180"/>
      <c r="K58" s="180"/>
      <c r="L58" s="180"/>
      <c r="M58" s="180"/>
      <c r="N58" s="180"/>
      <c r="O58" s="180"/>
      <c r="P58" s="180"/>
      <c r="Q58" s="180"/>
      <c r="R58" s="180"/>
      <c r="S58" s="180"/>
      <c r="T58" s="180"/>
      <c r="U58" s="180"/>
      <c r="V58" s="180"/>
      <c r="W58" s="78"/>
      <c r="X58" s="4"/>
      <c r="Y58" s="4"/>
      <c r="Z58" s="4"/>
      <c r="AA58" s="4"/>
      <c r="AB58" s="4"/>
      <c r="AC58" s="4"/>
      <c r="AD58" s="4"/>
      <c r="AE58" s="4"/>
      <c r="AF58" s="4"/>
      <c r="AG58" s="4"/>
      <c r="AH58" s="4"/>
      <c r="AI58" s="4"/>
      <c r="AJ58" s="4"/>
      <c r="AK58" s="4"/>
    </row>
    <row r="59" spans="2:46" ht="22.8" thickBot="1" x14ac:dyDescent="0.5">
      <c r="B59" s="11" t="s">
        <v>22</v>
      </c>
    </row>
    <row r="60" spans="2:46" ht="22.2" x14ac:dyDescent="0.45">
      <c r="B60" s="181" t="s">
        <v>81</v>
      </c>
      <c r="C60" s="182"/>
      <c r="D60" s="183" t="s">
        <v>60</v>
      </c>
      <c r="E60" s="184"/>
      <c r="F60" s="184"/>
      <c r="G60" s="184"/>
      <c r="H60" s="184"/>
      <c r="I60" s="184"/>
      <c r="J60" s="184"/>
      <c r="K60" s="184"/>
      <c r="L60" s="185"/>
      <c r="M60" s="183" t="s">
        <v>59</v>
      </c>
      <c r="N60" s="184"/>
      <c r="O60" s="184"/>
      <c r="P60" s="184"/>
      <c r="Q60" s="184"/>
      <c r="R60" s="184"/>
      <c r="S60" s="184"/>
      <c r="T60" s="184"/>
      <c r="U60" s="184"/>
      <c r="V60" s="186"/>
      <c r="W60" s="11"/>
      <c r="X60" s="11"/>
    </row>
    <row r="61" spans="2:46" ht="33.75" customHeight="1" x14ac:dyDescent="0.45">
      <c r="B61" s="187" t="s">
        <v>82</v>
      </c>
      <c r="C61" s="188"/>
      <c r="D61" s="189" t="s">
        <v>5</v>
      </c>
      <c r="E61" s="189"/>
      <c r="F61" s="189"/>
      <c r="G61" s="189" t="s">
        <v>23</v>
      </c>
      <c r="H61" s="189"/>
      <c r="I61" s="189"/>
      <c r="J61" s="188" t="s">
        <v>83</v>
      </c>
      <c r="K61" s="188"/>
      <c r="L61" s="188"/>
      <c r="M61" s="189" t="s">
        <v>24</v>
      </c>
      <c r="N61" s="189"/>
      <c r="O61" s="189"/>
      <c r="P61" s="188" t="s">
        <v>25</v>
      </c>
      <c r="Q61" s="188"/>
      <c r="R61" s="189" t="s">
        <v>26</v>
      </c>
      <c r="S61" s="189"/>
      <c r="T61" s="88" t="s">
        <v>27</v>
      </c>
      <c r="U61" s="191" t="str">
        <f>IF(B62=0,"",430000+IF(COUNTIF(Z48:Z56,"○")&gt;1,(COUNTIF(Z48:Z56,"○")-1)*100000,0))</f>
        <v/>
      </c>
      <c r="V61" s="192"/>
      <c r="W61" s="70"/>
      <c r="X61" s="70"/>
      <c r="AH61" s="5"/>
      <c r="AI61" s="1"/>
    </row>
    <row r="62" spans="2:46" ht="33.75" customHeight="1" x14ac:dyDescent="0.45">
      <c r="B62" s="193">
        <f>COUNTIF(S39:S40,"被保険者")</f>
        <v>0</v>
      </c>
      <c r="C62" s="194"/>
      <c r="D62" s="195">
        <f>IF(B62=0,0,IF(AND(AS48=0,AT48=0),ROUND(G7*(10-M62)/10*S42/12,0),ROUND(G7*(10-M62)/10*(S42-(AS48+AT48))/12,0)+IF(AS48=0,0,ROUND(G7*(10-M62)/10*AS48/12,0)*1/2))+IF(AT48=0,0,ROUND(G7*(10-M62)/10*AT48/12,0)*3/4))</f>
        <v>0</v>
      </c>
      <c r="E62" s="195"/>
      <c r="F62" s="195"/>
      <c r="G62" s="195">
        <f>IF(B62=0,0,IF(AND(AS48=0,AT48=0),ROUND(G8*(10-M62)/10*S42/12,0),ROUND(G8*(10-M62)/10*(S42-(AS48+AT48))/12,0)+IF(AS48=0,0,ROUND(G8*(10-M62)/10*AS48/12,0)*1/2))+IF(AT48=0,0,ROUND(G8*(10-M62)/10*AT48/12,0)*3/4))</f>
        <v>0</v>
      </c>
      <c r="H62" s="195"/>
      <c r="I62" s="195"/>
      <c r="J62" s="195">
        <f>IF(S43=0,0,ROUND(G9*(10-M62)/10,0)*S43/12)</f>
        <v>0</v>
      </c>
      <c r="K62" s="195"/>
      <c r="L62" s="195"/>
      <c r="M62" s="197">
        <f>IF(B62=0,0,IF(R62&lt;=U61,7,IF(R62&lt;=U62,5,IF(R62&lt;=U63,2,0))))</f>
        <v>0</v>
      </c>
      <c r="N62" s="197"/>
      <c r="O62" s="197"/>
      <c r="P62" s="188"/>
      <c r="Q62" s="188"/>
      <c r="R62" s="195">
        <f>SUM(AL48:AL56)</f>
        <v>0</v>
      </c>
      <c r="S62" s="195"/>
      <c r="T62" s="88" t="s">
        <v>28</v>
      </c>
      <c r="U62" s="191" t="str" cm="1">
        <f t="array" ref="U62">IF(B62=0,"",INDEX(F41:S41,MATCH(0,INDEX(0/F41:S41,),))*295000+IF(COUNTIF(Z48:Z56,"○")&gt;1,(COUNTIF(Z48:Z56,"○")-1)*100000,0)+430000)</f>
        <v/>
      </c>
      <c r="V62" s="192"/>
      <c r="AH62" s="5"/>
      <c r="AI62" s="1"/>
    </row>
    <row r="63" spans="2:46" ht="33.75" customHeight="1" thickBot="1" x14ac:dyDescent="0.5">
      <c r="B63" s="198">
        <f>COUNTIF(V15,"&gt;=1")+COUNTIF(V18,"&gt;=1")+COUNTIF(V21,"&gt;=1")+COUNTIF(V24,"&gt;=1")+COUNTIF(V27,"&gt;=1")+COUNTIF(V30,"&gt;=1")+COUNTIF(V33,"&gt;=1")+COUNTIF(V36,"&gt;=1")+COUNTIF(S39,"&gt;=1")</f>
        <v>0</v>
      </c>
      <c r="C63" s="199"/>
      <c r="D63" s="196"/>
      <c r="E63" s="196"/>
      <c r="F63" s="196"/>
      <c r="G63" s="196"/>
      <c r="H63" s="196"/>
      <c r="I63" s="196"/>
      <c r="J63" s="196"/>
      <c r="K63" s="196"/>
      <c r="L63" s="196"/>
      <c r="M63" s="171" t="str">
        <f>IF(COUNTIF(Y48:Y56,"&lt;=5")&gt;=1,"未就学児","")</f>
        <v/>
      </c>
      <c r="N63" s="171"/>
      <c r="O63" s="171"/>
      <c r="P63" s="190"/>
      <c r="Q63" s="190"/>
      <c r="R63" s="196"/>
      <c r="S63" s="196"/>
      <c r="T63" s="89" t="s">
        <v>29</v>
      </c>
      <c r="U63" s="172" t="str" cm="1">
        <f t="array" ref="U63">IF(B62=0,"",INDEX(F41:S41,MATCH(0,INDEX(0/F41:S41,),))*545000+IF(COUNTIF(Z48:Z56,"○")&gt;1,(COUNTIF(Z48:Z56,"○")-1)*100000,0)+430000)</f>
        <v/>
      </c>
      <c r="V63" s="173"/>
    </row>
    <row r="64" spans="2:46" ht="33.75" customHeight="1" thickBot="1" x14ac:dyDescent="0.5">
      <c r="B64" s="66"/>
      <c r="C64" s="174" t="s">
        <v>86</v>
      </c>
      <c r="D64" s="175"/>
      <c r="E64" s="174" t="s">
        <v>30</v>
      </c>
      <c r="F64" s="176"/>
      <c r="G64" s="176"/>
      <c r="H64" s="176"/>
      <c r="I64" s="175"/>
      <c r="J64" s="177" t="s">
        <v>5</v>
      </c>
      <c r="K64" s="177"/>
      <c r="L64" s="177"/>
      <c r="M64" s="177" t="s">
        <v>6</v>
      </c>
      <c r="N64" s="177"/>
      <c r="O64" s="177"/>
      <c r="P64" s="177" t="s">
        <v>7</v>
      </c>
      <c r="Q64" s="177"/>
      <c r="R64" s="177"/>
      <c r="S64" s="174" t="s">
        <v>31</v>
      </c>
      <c r="T64" s="176"/>
      <c r="U64" s="176"/>
      <c r="V64" s="178"/>
      <c r="Y64" s="10"/>
    </row>
    <row r="65" spans="2:35" ht="31.5" customHeight="1" thickTop="1" x14ac:dyDescent="0.45">
      <c r="B65" s="65" t="s">
        <v>13</v>
      </c>
      <c r="C65" s="162">
        <f>C14</f>
        <v>0</v>
      </c>
      <c r="D65" s="163"/>
      <c r="E65" s="164">
        <f>IF(V16="被保険者",IF((N48+T48+AC48+AD48+AE48)&gt;=430000,(N48+T48+AC48+AD48+AE48)-430000,0),0)</f>
        <v>0</v>
      </c>
      <c r="F65" s="165"/>
      <c r="G65" s="165"/>
      <c r="H65" s="165"/>
      <c r="I65" s="166"/>
      <c r="J65" s="167">
        <f>IF(V16="被保険者",E65*C$7*AA48/12+E$7*(10-M$62)*AA48/12/IF(Z48&lt;=5,20,10),0)+IF(V16="被保険者",ROUND($D$62*IF(SUM($AA$48:$AA$56)-AA48=0,1,AA48/SUM($AA$48:$AA$56)),0))</f>
        <v>0</v>
      </c>
      <c r="K65" s="167"/>
      <c r="L65" s="167"/>
      <c r="M65" s="167">
        <f>IF(V16="被保険者",E65*C$8*AA48/12+E$8*(10-M$62)*AA48/12/IF(Z48&lt;=5,20,10),0)+IF(V16="被保険者",ROUND($G$62*IF(SUM($AA$48:$AA$56)-AA48=0,1,AA48/SUM($AA$48:$AA$56)),0))</f>
        <v>0</v>
      </c>
      <c r="N65" s="167"/>
      <c r="O65" s="167"/>
      <c r="P65" s="167">
        <f>IF(V16="被保険者",IF(AND(AO48&gt;=1),(E65*C$9*AO48/12)+E$9*(10-M$62)*AO48/12/10+J$62*AO48/SUM($AO$48:$AO$56),0),0)</f>
        <v>0</v>
      </c>
      <c r="Q65" s="167"/>
      <c r="R65" s="167"/>
      <c r="S65" s="168">
        <f t="shared" ref="S65:S73" si="27">SUM(J65:R65)</f>
        <v>0</v>
      </c>
      <c r="T65" s="169"/>
      <c r="U65" s="169"/>
      <c r="V65" s="170"/>
    </row>
    <row r="66" spans="2:35" ht="31.5" customHeight="1" x14ac:dyDescent="0.45">
      <c r="B66" s="63" t="s">
        <v>14</v>
      </c>
      <c r="C66" s="160">
        <f>C17</f>
        <v>0</v>
      </c>
      <c r="D66" s="161"/>
      <c r="E66" s="153">
        <f>IF(V19="被保険者",IF((N49+T49+AC49+AD49+AE49)&gt;=430000,(N49+T49+AC49+AD49+AE49)-430000,0),0)</f>
        <v>0</v>
      </c>
      <c r="F66" s="154"/>
      <c r="G66" s="154"/>
      <c r="H66" s="154"/>
      <c r="I66" s="155"/>
      <c r="J66" s="156">
        <f>IF(V19="被保険者",E66*C$7*AA49/12+E$7*(10-M$62)*AA49/12/IF(Y49&lt;=5,20,10),0)+IF(V19="被保険者",ROUND($D$62*IF(SUM($AA$48:$AA$56)-AA49=0,1,AA49/SUM($AA$48:$AA$56)),0))</f>
        <v>0</v>
      </c>
      <c r="K66" s="156"/>
      <c r="L66" s="156"/>
      <c r="M66" s="156">
        <f>IF(V19="被保険者",E66*C$8*AA49/12+E$8*(10-M$62)*AA49/12/IF(Y49&lt;=5,20,10),0)+IF(V19="被保険者",ROUND($G$62*IF(SUM($AA$48:$AA$56)-AA49=0,1,AA49/SUM($AA$48:$AA$56)),0))</f>
        <v>0</v>
      </c>
      <c r="N66" s="156"/>
      <c r="O66" s="156"/>
      <c r="P66" s="156">
        <f>IF(V19="被保険者",IF(AND(AO49&gt;=1),(E66*C$9*AO49/12)+E$9*(10-M$62)*AO49/12/10+J$62*AO49/SUM($AO$48:$AO$56),0),0)</f>
        <v>0</v>
      </c>
      <c r="Q66" s="156"/>
      <c r="R66" s="156"/>
      <c r="S66" s="157">
        <f t="shared" si="27"/>
        <v>0</v>
      </c>
      <c r="T66" s="158"/>
      <c r="U66" s="158"/>
      <c r="V66" s="159"/>
    </row>
    <row r="67" spans="2:35" ht="31.5" customHeight="1" x14ac:dyDescent="0.45">
      <c r="B67" s="63" t="s">
        <v>15</v>
      </c>
      <c r="C67" s="162">
        <f>C20</f>
        <v>0</v>
      </c>
      <c r="D67" s="163"/>
      <c r="E67" s="153">
        <f>IF(V22="被保険者",IF((N50+T50+AC50+AD50+AE50)&gt;=430000,(N50+T50+AC50+AD50+AE50)-430000,0),0)</f>
        <v>0</v>
      </c>
      <c r="F67" s="154"/>
      <c r="G67" s="154"/>
      <c r="H67" s="154"/>
      <c r="I67" s="155"/>
      <c r="J67" s="156">
        <f>IF(V22="被保険者",E67*C$7*AA50/12+E$7*(10-M$62)*AA50/12/IF(Y50&lt;=5,20,10),0)+IF(V22="被保険者",ROUND($D$62*IF(SUM(AA48:AA56)-AA50=0,1,AA50/SUM($AA$48:$AA$56)),0))</f>
        <v>0</v>
      </c>
      <c r="K67" s="156"/>
      <c r="L67" s="156"/>
      <c r="M67" s="156">
        <f>IF(V22="被保険者",E67*C$8*AA50/12+E$8*(10-M$62)*AA50/12/IF(Y50&lt;=5,20,10),0)+IF(V22="被保険者",ROUND($G$62*IF(SUM(AA48:AA56)-AA50=0,1,AA50/SUM($AA$48:$AA$56)),0))</f>
        <v>0</v>
      </c>
      <c r="N67" s="156"/>
      <c r="O67" s="156"/>
      <c r="P67" s="156">
        <f>IF(V22="被保険者",IF(AND(AO50&gt;=1),(E67*C$9*AO50/12)+E$9*(10-M$62)*AO50/12/10+J$62*AO50/SUM($AO$48:$AO$56),0),0)</f>
        <v>0</v>
      </c>
      <c r="Q67" s="156"/>
      <c r="R67" s="156"/>
      <c r="S67" s="157">
        <f t="shared" si="27"/>
        <v>0</v>
      </c>
      <c r="T67" s="158"/>
      <c r="U67" s="158"/>
      <c r="V67" s="159"/>
    </row>
    <row r="68" spans="2:35" ht="31.5" customHeight="1" x14ac:dyDescent="0.45">
      <c r="B68" s="63" t="s">
        <v>16</v>
      </c>
      <c r="C68" s="151">
        <f>C23</f>
        <v>0</v>
      </c>
      <c r="D68" s="152"/>
      <c r="E68" s="153">
        <f>IF(V25="被保険者",IF((N51+T51+AC51+AD51+AE51)&gt;=430000,(N51+T51+AC51+AD51+AE51)-430000,0),0)</f>
        <v>0</v>
      </c>
      <c r="F68" s="154"/>
      <c r="G68" s="154"/>
      <c r="H68" s="154"/>
      <c r="I68" s="155"/>
      <c r="J68" s="156">
        <f>IF(V25="被保険者",E68*C$7*AA51/12+E$7*(10-M$62)*AA51/12/IF(Y51&lt;=5,20,10),0)+IF(V25="被保険者",ROUND($D$62*IF(SUM($AA$48:$AA$56)-AA51=0,1,AA51/SUM($AA$48:$AA$56)),0))</f>
        <v>0</v>
      </c>
      <c r="K68" s="156"/>
      <c r="L68" s="156"/>
      <c r="M68" s="156">
        <f>IF(V25="被保険者",E68*C$8*AA51/12+E$8*(10-M$62)*AA51/12/IF(Y51&lt;=5,20,10),0)+IF(V25="被保険者",ROUND($G$62*IF(SUM($AA$48:$AA$56)-AA51=0,1,AA51/SUM($AA$48:$AA$56)),0))</f>
        <v>0</v>
      </c>
      <c r="N68" s="156"/>
      <c r="O68" s="156"/>
      <c r="P68" s="156">
        <f>IF(V25="被保険者",IF(AND(AO51&gt;=1),(E68*C$9*AO51/12)+E$9*(10-M$62)*AO51/12/10+J$62*AO51/SUM($AO$48:$AO$56),0),0)</f>
        <v>0</v>
      </c>
      <c r="Q68" s="156"/>
      <c r="R68" s="156"/>
      <c r="S68" s="157">
        <f t="shared" si="27"/>
        <v>0</v>
      </c>
      <c r="T68" s="158"/>
      <c r="U68" s="158"/>
      <c r="V68" s="159"/>
    </row>
    <row r="69" spans="2:35" ht="31.5" customHeight="1" x14ac:dyDescent="0.45">
      <c r="B69" s="63" t="s">
        <v>17</v>
      </c>
      <c r="C69" s="160">
        <f>C26</f>
        <v>0</v>
      </c>
      <c r="D69" s="161"/>
      <c r="E69" s="153">
        <f>IF(V28="被保険者",IF((N52+T52+AC52+AD52+AE52)&gt;=430000,(N52+T52+AC52+AD52+AE52)-430000,0),0)</f>
        <v>0</v>
      </c>
      <c r="F69" s="154"/>
      <c r="G69" s="154"/>
      <c r="H69" s="154"/>
      <c r="I69" s="155"/>
      <c r="J69" s="156">
        <f>IF(V28="被保険者",E69*C$7*AA52/12+E$7*(10-M$62)*AA52/12/IF(Y52&lt;=5,20,10),0)+IF(V28="被保険者",ROUND($D$62*IF(SUM($AA$48:$AA$56)-AA52=0,1,AA52/SUM($AA$48:$AA$56)),0))</f>
        <v>0</v>
      </c>
      <c r="K69" s="156"/>
      <c r="L69" s="156"/>
      <c r="M69" s="156">
        <f>IF(V28="被保険者",E69*C$8*AA52/12+E$8*(10-M$62)*AA52/12/IF(Y52&lt;=5,20,10),0)+IF(V28="被保険者",ROUND($G$62*IF(SUM($AA$48:$AA$56)-AA52=0,1,AA52/SUM($AA$48:$AA$56)),0))</f>
        <v>0</v>
      </c>
      <c r="N69" s="156"/>
      <c r="O69" s="156"/>
      <c r="P69" s="156">
        <f>IF(V28="被保険者",IF(AND(AO52&gt;=1),(E69*C$9*AO52/12)+E$9*(10-M$62)*AO52/12/10+J$62*AO52/SUM($AO$48:$AO$56),0),0)</f>
        <v>0</v>
      </c>
      <c r="Q69" s="156"/>
      <c r="R69" s="156"/>
      <c r="S69" s="157">
        <f t="shared" si="27"/>
        <v>0</v>
      </c>
      <c r="T69" s="158"/>
      <c r="U69" s="158"/>
      <c r="V69" s="159"/>
    </row>
    <row r="70" spans="2:35" ht="31.5" customHeight="1" x14ac:dyDescent="0.45">
      <c r="B70" s="63" t="s">
        <v>18</v>
      </c>
      <c r="C70" s="162">
        <f>C29</f>
        <v>0</v>
      </c>
      <c r="D70" s="163"/>
      <c r="E70" s="153">
        <f>IF(V31="被保険者",IF((N53+T53+AC53+AD53+AE53)&gt;=430000,(N53+T53+AC53+AD53+AE53)-430000,0),0)</f>
        <v>0</v>
      </c>
      <c r="F70" s="154"/>
      <c r="G70" s="154"/>
      <c r="H70" s="154"/>
      <c r="I70" s="155"/>
      <c r="J70" s="156">
        <f>IF(V31="被保険者",E70*C$7*AA53/12+E$7*(10-M$62)*AA53/12/IF(Y53&lt;=5,20,10),0)+IF(V31="被保険者",ROUND($D$62*IF(SUM($AA$48:$AA$56)-AA53=0,1,AA53/SUM($AA$48:$AA$56)),0))</f>
        <v>0</v>
      </c>
      <c r="K70" s="156"/>
      <c r="L70" s="156"/>
      <c r="M70" s="156">
        <f>IF(V31="被保険者",E70*C$8*AA53/12+E$8*(10-M$62)*AA53/12/IF(Y53&lt;=5,20,10),0)+IF(V31="被保険者",ROUND($G$62*IF(SUM($AA$48:$AA$56)-AA53=0,1,AA53/SUM($AA$48:$AA$56)),0))</f>
        <v>0</v>
      </c>
      <c r="N70" s="156"/>
      <c r="O70" s="156"/>
      <c r="P70" s="156">
        <f>IF(V31="被保険者",IF(AND(AO53&gt;=1),(E70*C$9*AO53/12)+E$9*(10-M$62)*AO53/12/10+J$62*AO53/SUM($AO$48:$AO$56),0),0)</f>
        <v>0</v>
      </c>
      <c r="Q70" s="156"/>
      <c r="R70" s="156"/>
      <c r="S70" s="157">
        <f t="shared" si="27"/>
        <v>0</v>
      </c>
      <c r="T70" s="158"/>
      <c r="U70" s="158"/>
      <c r="V70" s="159"/>
    </row>
    <row r="71" spans="2:35" ht="31.5" customHeight="1" x14ac:dyDescent="0.45">
      <c r="B71" s="63" t="s">
        <v>19</v>
      </c>
      <c r="C71" s="151">
        <f>C32</f>
        <v>0</v>
      </c>
      <c r="D71" s="152"/>
      <c r="E71" s="153">
        <f>IF(V34="被保険者",IF((N54+T54+AC54+AD54+AE54)&gt;=430000,(N54+T54+AC54+AD54+AE54)-430000,0),0)</f>
        <v>0</v>
      </c>
      <c r="F71" s="154"/>
      <c r="G71" s="154"/>
      <c r="H71" s="154"/>
      <c r="I71" s="155"/>
      <c r="J71" s="156">
        <f>IF(V34="被保険者",E71*C$7*AA54/12+E$7*(10-M$62)*AA54/12/IF(Y54&lt;=5,20,10),0)+IF(V34="被保険者",ROUND($D$62*IF(SUM($AA$48:$AA$56)-AA54=0,1,AA54/SUM($AA$48:$AA$56)),0))</f>
        <v>0</v>
      </c>
      <c r="K71" s="156"/>
      <c r="L71" s="156"/>
      <c r="M71" s="156">
        <f>IF(V34="被保険者",E71*C$8*AA54/12+E$8*(10-M$62)*AA54/12/IF(Y54&lt;=5,20,10),0)+IF(V34="被保険者",ROUND($G$62*IF(SUM($AA$48:$AA$56)-AA54=0,1,AA54/SUM($AA$48:$AA$56)),0))</f>
        <v>0</v>
      </c>
      <c r="N71" s="156"/>
      <c r="O71" s="156"/>
      <c r="P71" s="156">
        <f>IF(V34="被保険者",IF(AND(AO54&gt;=1),(E71*C$9*AO54/12)+E$9*(10-M$62)*AO54/12/10+J$62*AO54/SUM($AO$48:$AO$56),0),0)</f>
        <v>0</v>
      </c>
      <c r="Q71" s="156"/>
      <c r="R71" s="156"/>
      <c r="S71" s="157">
        <f t="shared" si="27"/>
        <v>0</v>
      </c>
      <c r="T71" s="158"/>
      <c r="U71" s="158"/>
      <c r="V71" s="159"/>
    </row>
    <row r="72" spans="2:35" ht="31.5" customHeight="1" x14ac:dyDescent="0.45">
      <c r="B72" s="63" t="s">
        <v>20</v>
      </c>
      <c r="C72" s="151">
        <f>C35</f>
        <v>0</v>
      </c>
      <c r="D72" s="152"/>
      <c r="E72" s="153">
        <f>IF(V37="被保険者",IF((N55+T55+AC55+AD55+AE55)&gt;=430000,(N55+T55+AC55+AD55+AE55)-430000,0),0)</f>
        <v>0</v>
      </c>
      <c r="F72" s="154"/>
      <c r="G72" s="154"/>
      <c r="H72" s="154"/>
      <c r="I72" s="155"/>
      <c r="J72" s="156">
        <f>IF(V37="被保険者",E72*C$7*AA55/12+E$7*(10-M$62)*AA55/12/IF(Y55&lt;=5,20,10),0)+IF(V37="被保険者",ROUND($D$62*IF(SUM($AA$48:$AA$56)-AA55=0,1,AA55/SUM($AA$48:$AA$56)),0))</f>
        <v>0</v>
      </c>
      <c r="K72" s="156"/>
      <c r="L72" s="156"/>
      <c r="M72" s="156">
        <f>IF(V37="被保険者",E72*C$8*AA55/12+E$8*(10-M$62)*AA55/12/IF(Y55&lt;=5,20,10),0)+IF(V37="被保険者",ROUND($G$62*IF(SUM($AA$48:$AA$56)-AA55=0,1,AA55/SUM($AA$48:$AA$56)),0))</f>
        <v>0</v>
      </c>
      <c r="N72" s="156"/>
      <c r="O72" s="156"/>
      <c r="P72" s="156">
        <f>IF(V37="被保険者",IF(AND(AO55&gt;=1),(E72*C$9*AO55/12)+E$9*(10-M$62)*AO55/12/10+J$62*AO55/SUM($AO$48:$AO$56),0),0)</f>
        <v>0</v>
      </c>
      <c r="Q72" s="156"/>
      <c r="R72" s="156"/>
      <c r="S72" s="157">
        <f t="shared" si="27"/>
        <v>0</v>
      </c>
      <c r="T72" s="158"/>
      <c r="U72" s="158"/>
      <c r="V72" s="159"/>
    </row>
    <row r="73" spans="2:35" ht="31.5" customHeight="1" thickBot="1" x14ac:dyDescent="0.5">
      <c r="B73" s="64" t="s">
        <v>21</v>
      </c>
      <c r="C73" s="142">
        <f>C38</f>
        <v>0</v>
      </c>
      <c r="D73" s="143"/>
      <c r="E73" s="144">
        <f>IF(S40="被保険者",IF((N56+T56+AC56+AD56+AE56)&gt;=430000,(N56+T56+AC56+AD56+AE56)-430000,0),0)</f>
        <v>0</v>
      </c>
      <c r="F73" s="145"/>
      <c r="G73" s="145"/>
      <c r="H73" s="145"/>
      <c r="I73" s="146"/>
      <c r="J73" s="147">
        <f>IF(S40="被保険者",E73*C$7*AA56/12+E$7*(10-M$62)*AA56/12/IF(Y56&lt;=5,20,10),0)+IF(S40="被保険者",ROUND($D$62*IF(SUM($AA$48:$AA$56)-AA56=0,1,AA56/SUM($AA$48:$AA$56)),0))</f>
        <v>0</v>
      </c>
      <c r="K73" s="147"/>
      <c r="L73" s="147"/>
      <c r="M73" s="147">
        <f>IF(S40="被保険者",E73*C$8*AA56/12+E$8*(10-M$62)*AA56/12/IF(Y56&lt;=5,20,10),0)+IF(S40="被保険者",ROUND($G$62*IF(SUM($AA$48:$AA$56)-AA56=0,1,AA56/SUM($AA$48:$AA$56)),0))</f>
        <v>0</v>
      </c>
      <c r="N73" s="147"/>
      <c r="O73" s="147"/>
      <c r="P73" s="147">
        <f>IF(S40="被保険者",IF(AND(AO56&gt;=1),(E73*C$9*AO56/12)+E$9*(10-M$62)*AO56/12/10+J$62*AO56/SUM($AO$48:$AO$56),0),0)</f>
        <v>0</v>
      </c>
      <c r="Q73" s="147"/>
      <c r="R73" s="147"/>
      <c r="S73" s="148">
        <f t="shared" si="27"/>
        <v>0</v>
      </c>
      <c r="T73" s="149"/>
      <c r="U73" s="149"/>
      <c r="V73" s="150"/>
    </row>
    <row r="74" spans="2:35" s="58" customFormat="1" ht="25.5" customHeight="1" x14ac:dyDescent="0.45">
      <c r="B74" s="79" t="s">
        <v>35</v>
      </c>
      <c r="C74" s="59"/>
      <c r="D74" s="59"/>
      <c r="E74" s="60"/>
      <c r="F74" s="60"/>
      <c r="G74" s="60"/>
      <c r="H74" s="60"/>
      <c r="I74" s="60"/>
      <c r="J74" s="60"/>
      <c r="K74" s="60"/>
      <c r="L74" s="60"/>
      <c r="M74" s="60"/>
      <c r="N74" s="60"/>
      <c r="O74" s="60"/>
      <c r="P74" s="60"/>
      <c r="Q74" s="60"/>
      <c r="S74" s="61"/>
      <c r="T74" s="61"/>
      <c r="AI74" s="61"/>
    </row>
    <row r="75" spans="2:35" ht="15" customHeight="1" x14ac:dyDescent="0.45">
      <c r="M75" s="12"/>
      <c r="N75" s="12"/>
      <c r="O75" s="12"/>
      <c r="P75" s="12"/>
      <c r="Q75" s="12"/>
    </row>
    <row r="76" spans="2:35" ht="22.8" thickBot="1" x14ac:dyDescent="0.5">
      <c r="B76" s="11" t="s">
        <v>32</v>
      </c>
    </row>
    <row r="77" spans="2:35" ht="34.5" customHeight="1" x14ac:dyDescent="0.45">
      <c r="B77" s="130" t="s">
        <v>5</v>
      </c>
      <c r="C77" s="131"/>
      <c r="D77" s="131"/>
      <c r="E77" s="132"/>
      <c r="F77" s="133" t="s">
        <v>84</v>
      </c>
      <c r="G77" s="131"/>
      <c r="H77" s="131"/>
      <c r="I77" s="131"/>
      <c r="J77" s="132"/>
      <c r="K77" s="133" t="s">
        <v>7</v>
      </c>
      <c r="L77" s="131"/>
      <c r="M77" s="131"/>
      <c r="N77" s="131"/>
      <c r="O77" s="132"/>
      <c r="P77" s="133" t="s">
        <v>31</v>
      </c>
      <c r="Q77" s="131"/>
      <c r="R77" s="131"/>
      <c r="S77" s="131"/>
      <c r="T77" s="131"/>
      <c r="U77" s="131"/>
      <c r="V77" s="134"/>
    </row>
    <row r="78" spans="2:35" ht="45" customHeight="1" thickBot="1" x14ac:dyDescent="0.5">
      <c r="B78" s="135">
        <f>MIN(ROUNDDOWN(SUM(J65:L73),-2),I7)</f>
        <v>0</v>
      </c>
      <c r="C78" s="136"/>
      <c r="D78" s="136"/>
      <c r="E78" s="137"/>
      <c r="F78" s="138">
        <f>MIN(ROUNDDOWN(SUM(M65:O73),-2),I8)</f>
        <v>0</v>
      </c>
      <c r="G78" s="136"/>
      <c r="H78" s="136"/>
      <c r="I78" s="136"/>
      <c r="J78" s="137"/>
      <c r="K78" s="138">
        <f>MIN(ROUNDDOWN(SUM(P65:R73),-2),I9)</f>
        <v>0</v>
      </c>
      <c r="L78" s="136"/>
      <c r="M78" s="136"/>
      <c r="N78" s="136"/>
      <c r="O78" s="137"/>
      <c r="P78" s="139">
        <f>SUM(B78:O78)</f>
        <v>0</v>
      </c>
      <c r="Q78" s="140"/>
      <c r="R78" s="140"/>
      <c r="S78" s="140"/>
      <c r="T78" s="140"/>
      <c r="U78" s="140"/>
      <c r="V78" s="141"/>
    </row>
    <row r="79" spans="2:35" ht="25.5" customHeight="1" x14ac:dyDescent="0.45">
      <c r="B79" s="128" t="s">
        <v>85</v>
      </c>
      <c r="C79" s="128"/>
      <c r="D79" s="128"/>
      <c r="E79" s="128"/>
      <c r="F79" s="128"/>
      <c r="G79" s="128"/>
      <c r="H79" s="128"/>
      <c r="I79" s="128"/>
      <c r="J79" s="128"/>
      <c r="K79" s="128"/>
      <c r="L79" s="128"/>
      <c r="M79" s="128"/>
      <c r="N79" s="128"/>
      <c r="O79" s="128"/>
      <c r="P79" s="128"/>
      <c r="Q79" s="128"/>
      <c r="R79" s="128"/>
      <c r="S79" s="128"/>
      <c r="T79" s="128"/>
      <c r="U79" s="128"/>
      <c r="V79" s="128"/>
    </row>
    <row r="80" spans="2:35" ht="25.5" customHeight="1" x14ac:dyDescent="0.45">
      <c r="B80" s="129" t="s">
        <v>101</v>
      </c>
      <c r="C80" s="129"/>
      <c r="D80" s="129"/>
      <c r="E80" s="129"/>
      <c r="F80" s="129"/>
      <c r="G80" s="129"/>
      <c r="H80" s="129"/>
      <c r="I80" s="129"/>
      <c r="J80" s="129"/>
      <c r="K80" s="129"/>
      <c r="L80" s="129"/>
      <c r="M80" s="129"/>
      <c r="N80" s="129"/>
      <c r="O80" s="129"/>
      <c r="P80" s="129"/>
      <c r="Q80" s="129"/>
      <c r="R80" s="129"/>
      <c r="S80" s="129"/>
      <c r="T80" s="129"/>
      <c r="U80" s="129"/>
      <c r="V80" s="129"/>
    </row>
    <row r="81" spans="2:10" ht="16.5" customHeight="1" x14ac:dyDescent="0.45">
      <c r="B81" s="62"/>
      <c r="C81" s="62"/>
      <c r="D81" s="62"/>
      <c r="E81" s="62"/>
      <c r="F81" s="62"/>
      <c r="G81" s="62"/>
      <c r="H81" s="62"/>
      <c r="I81" s="62"/>
      <c r="J81" s="62"/>
    </row>
  </sheetData>
  <protectedRanges>
    <protectedRange sqref="G45:T45 E45 N48 O49:P57 P48 E48:E57 I48:J57 L48:M57 E14:E41 C48:C57 C45 F31 F34 F37 F40:F41 R48:S57 T57 V57:AL57 F44:U44 F19 U48:Z56 V14:X23 S14:U17 G18:U19 F38:X38 F35:X35 G36:X37 F32:X32 G33:X34 G30:X31 F16 AJ42:AT45 G21:U21 C14:C41 F14:R14 F17:R17 F20:U20 F22:U23 F25:X26 F28:X29 AB48:AL56 G15:R16 G24:X24 G27:X27 G39:X41" name="範囲1"/>
    <protectedRange sqref="G42:T43" name="範囲1_1"/>
  </protectedRanges>
  <customSheetViews>
    <customSheetView guid="{EB7C7550-A28C-420F-8B25-8911FF6736B1}" scale="60" showPageBreaks="1" printArea="1" hiddenColumns="1" view="pageBreakPreview" topLeftCell="A16">
      <selection activeCell="Q36" sqref="Q36"/>
      <rowBreaks count="1" manualBreakCount="1">
        <brk id="22" max="16383" man="1"/>
      </rowBreaks>
      <pageMargins left="0.39370078740157483" right="0.39370078740157483" top="0.39370078740157483" bottom="0.39370078740157483" header="0.31496062992125984" footer="0.31496062992125984"/>
      <pageSetup paperSize="9" scale="69" fitToWidth="0" fitToHeight="0" orientation="landscape" r:id="rId1"/>
    </customSheetView>
    <customSheetView guid="{E3E860AD-D148-4C2D-9CCC-29AD6384C09A}" scale="60" showPageBreaks="1" printArea="1" hiddenColumns="1" view="pageBreakPreview">
      <selection sqref="A1:S22"/>
      <rowBreaks count="1" manualBreakCount="1">
        <brk id="22" max="16383" man="1"/>
      </rowBreaks>
      <pageMargins left="0.39370078740157483" right="0.39370078740157483" top="0.39370078740157483" bottom="0.39370078740157483" header="0.31496062992125984" footer="0.31496062992125984"/>
      <pageSetup paperSize="9" scale="69" fitToWidth="0" fitToHeight="0" orientation="landscape" r:id="rId2"/>
    </customSheetView>
  </customSheetViews>
  <mergeCells count="226">
    <mergeCell ref="S72:V72"/>
    <mergeCell ref="S71:V71"/>
    <mergeCell ref="S70:V70"/>
    <mergeCell ref="S69:V69"/>
    <mergeCell ref="S68:V68"/>
    <mergeCell ref="S67:V67"/>
    <mergeCell ref="S66:V66"/>
    <mergeCell ref="S65:V65"/>
    <mergeCell ref="S64:V64"/>
    <mergeCell ref="C13:D13"/>
    <mergeCell ref="B11:V11"/>
    <mergeCell ref="B3:V3"/>
    <mergeCell ref="B4:V4"/>
    <mergeCell ref="T38:U38"/>
    <mergeCell ref="T35:U35"/>
    <mergeCell ref="T32:U32"/>
    <mergeCell ref="T29:U29"/>
    <mergeCell ref="T26:U26"/>
    <mergeCell ref="T23:U23"/>
    <mergeCell ref="T20:U20"/>
    <mergeCell ref="T17:U17"/>
    <mergeCell ref="T14:U14"/>
    <mergeCell ref="T13:U13"/>
    <mergeCell ref="B38:B40"/>
    <mergeCell ref="B35:B37"/>
    <mergeCell ref="B32:B34"/>
    <mergeCell ref="B29:B31"/>
    <mergeCell ref="B26:B28"/>
    <mergeCell ref="B23:B25"/>
    <mergeCell ref="B20:B22"/>
    <mergeCell ref="E38:E40"/>
    <mergeCell ref="B17:B19"/>
    <mergeCell ref="E26:E28"/>
    <mergeCell ref="C56:D56"/>
    <mergeCell ref="C48:D48"/>
    <mergeCell ref="C49:D49"/>
    <mergeCell ref="C50:D50"/>
    <mergeCell ref="U63:V63"/>
    <mergeCell ref="U62:V62"/>
    <mergeCell ref="U61:V61"/>
    <mergeCell ref="B58:V58"/>
    <mergeCell ref="C6:D6"/>
    <mergeCell ref="E6:F6"/>
    <mergeCell ref="G6:H6"/>
    <mergeCell ref="I6:J6"/>
    <mergeCell ref="C9:D9"/>
    <mergeCell ref="E9:F9"/>
    <mergeCell ref="G9:H9"/>
    <mergeCell ref="I9:J9"/>
    <mergeCell ref="C7:D7"/>
    <mergeCell ref="E7:F7"/>
    <mergeCell ref="G7:H7"/>
    <mergeCell ref="I7:J7"/>
    <mergeCell ref="C8:D8"/>
    <mergeCell ref="E8:F8"/>
    <mergeCell ref="G8:H8"/>
    <mergeCell ref="I8:J8"/>
    <mergeCell ref="E29:E31"/>
    <mergeCell ref="K47:M47"/>
    <mergeCell ref="H47:J47"/>
    <mergeCell ref="E47:G47"/>
    <mergeCell ref="C47:D47"/>
    <mergeCell ref="C29:D31"/>
    <mergeCell ref="C26:D28"/>
    <mergeCell ref="C23:D25"/>
    <mergeCell ref="E23:E25"/>
    <mergeCell ref="C44:E44"/>
    <mergeCell ref="C43:E43"/>
    <mergeCell ref="C42:E42"/>
    <mergeCell ref="C41:E41"/>
    <mergeCell ref="AS48:AS56"/>
    <mergeCell ref="AT48:AT56"/>
    <mergeCell ref="E35:E37"/>
    <mergeCell ref="B14:B16"/>
    <mergeCell ref="C20:D22"/>
    <mergeCell ref="C17:D19"/>
    <mergeCell ref="C14:D16"/>
    <mergeCell ref="E14:E16"/>
    <mergeCell ref="E17:E19"/>
    <mergeCell ref="E20:E22"/>
    <mergeCell ref="C38:D40"/>
    <mergeCell ref="C35:D37"/>
    <mergeCell ref="C32:D34"/>
    <mergeCell ref="E32:E34"/>
    <mergeCell ref="Q56:S56"/>
    <mergeCell ref="Q55:S55"/>
    <mergeCell ref="Q54:S54"/>
    <mergeCell ref="Q53:S53"/>
    <mergeCell ref="Q52:S52"/>
    <mergeCell ref="N56:P56"/>
    <mergeCell ref="C52:D52"/>
    <mergeCell ref="C53:D53"/>
    <mergeCell ref="C54:D54"/>
    <mergeCell ref="C55:D55"/>
    <mergeCell ref="C51:D51"/>
    <mergeCell ref="Q51:S51"/>
    <mergeCell ref="Q50:S50"/>
    <mergeCell ref="Q49:S49"/>
    <mergeCell ref="Q48:S48"/>
    <mergeCell ref="Q47:S47"/>
    <mergeCell ref="N51:P51"/>
    <mergeCell ref="N50:P50"/>
    <mergeCell ref="N49:P49"/>
    <mergeCell ref="N48:P48"/>
    <mergeCell ref="N47:P47"/>
    <mergeCell ref="E50:G50"/>
    <mergeCell ref="E49:G49"/>
    <mergeCell ref="E48:G48"/>
    <mergeCell ref="T50:V50"/>
    <mergeCell ref="T49:V49"/>
    <mergeCell ref="T48:V48"/>
    <mergeCell ref="T47:V47"/>
    <mergeCell ref="U41:V44"/>
    <mergeCell ref="H50:J50"/>
    <mergeCell ref="H49:J49"/>
    <mergeCell ref="H48:J48"/>
    <mergeCell ref="K56:M56"/>
    <mergeCell ref="K55:M55"/>
    <mergeCell ref="K54:M54"/>
    <mergeCell ref="K53:M53"/>
    <mergeCell ref="K52:M52"/>
    <mergeCell ref="K51:M51"/>
    <mergeCell ref="K50:M50"/>
    <mergeCell ref="K49:M49"/>
    <mergeCell ref="K48:M48"/>
    <mergeCell ref="N52:P52"/>
    <mergeCell ref="B79:V79"/>
    <mergeCell ref="B80:V80"/>
    <mergeCell ref="C70:D70"/>
    <mergeCell ref="E56:G56"/>
    <mergeCell ref="E55:G55"/>
    <mergeCell ref="E54:G54"/>
    <mergeCell ref="E53:G53"/>
    <mergeCell ref="E52:G52"/>
    <mergeCell ref="E51:G51"/>
    <mergeCell ref="H56:J56"/>
    <mergeCell ref="H55:J55"/>
    <mergeCell ref="H54:J54"/>
    <mergeCell ref="H53:J53"/>
    <mergeCell ref="H52:J52"/>
    <mergeCell ref="H51:J51"/>
    <mergeCell ref="T56:V56"/>
    <mergeCell ref="T55:V55"/>
    <mergeCell ref="T54:V54"/>
    <mergeCell ref="T53:V53"/>
    <mergeCell ref="T52:V52"/>
    <mergeCell ref="T51:V51"/>
    <mergeCell ref="N55:P55"/>
    <mergeCell ref="N54:P54"/>
    <mergeCell ref="N53:P53"/>
    <mergeCell ref="C72:D72"/>
    <mergeCell ref="C71:D71"/>
    <mergeCell ref="E64:I64"/>
    <mergeCell ref="C69:D69"/>
    <mergeCell ref="C68:D68"/>
    <mergeCell ref="C67:D67"/>
    <mergeCell ref="C66:D66"/>
    <mergeCell ref="C65:D65"/>
    <mergeCell ref="C64:D64"/>
    <mergeCell ref="E72:I72"/>
    <mergeCell ref="E71:I71"/>
    <mergeCell ref="J70:L70"/>
    <mergeCell ref="J69:L69"/>
    <mergeCell ref="J68:L68"/>
    <mergeCell ref="J67:L67"/>
    <mergeCell ref="J66:L66"/>
    <mergeCell ref="J65:L65"/>
    <mergeCell ref="B63:C63"/>
    <mergeCell ref="D62:F63"/>
    <mergeCell ref="G62:I63"/>
    <mergeCell ref="J64:L64"/>
    <mergeCell ref="J62:L63"/>
    <mergeCell ref="E70:I70"/>
    <mergeCell ref="E69:I69"/>
    <mergeCell ref="E68:I68"/>
    <mergeCell ref="E67:I67"/>
    <mergeCell ref="E66:I66"/>
    <mergeCell ref="E65:I65"/>
    <mergeCell ref="B62:C62"/>
    <mergeCell ref="P69:R69"/>
    <mergeCell ref="P68:R68"/>
    <mergeCell ref="P67:R67"/>
    <mergeCell ref="M73:O73"/>
    <mergeCell ref="M72:O72"/>
    <mergeCell ref="M71:O71"/>
    <mergeCell ref="M70:O70"/>
    <mergeCell ref="M69:O69"/>
    <mergeCell ref="M68:O68"/>
    <mergeCell ref="M67:O67"/>
    <mergeCell ref="S73:V73"/>
    <mergeCell ref="P78:V78"/>
    <mergeCell ref="P77:V77"/>
    <mergeCell ref="J73:L73"/>
    <mergeCell ref="D60:L60"/>
    <mergeCell ref="M60:V60"/>
    <mergeCell ref="P66:R66"/>
    <mergeCell ref="P65:R65"/>
    <mergeCell ref="M66:O66"/>
    <mergeCell ref="M65:O65"/>
    <mergeCell ref="J72:L72"/>
    <mergeCell ref="J71:L71"/>
    <mergeCell ref="B78:E78"/>
    <mergeCell ref="B77:E77"/>
    <mergeCell ref="F77:J77"/>
    <mergeCell ref="F78:J78"/>
    <mergeCell ref="K78:O78"/>
    <mergeCell ref="K77:O77"/>
    <mergeCell ref="E73:I73"/>
    <mergeCell ref="C73:D73"/>
    <mergeCell ref="P73:R73"/>
    <mergeCell ref="P72:R72"/>
    <mergeCell ref="P71:R71"/>
    <mergeCell ref="P70:R70"/>
    <mergeCell ref="B61:C61"/>
    <mergeCell ref="B60:C60"/>
    <mergeCell ref="D61:F61"/>
    <mergeCell ref="M64:O64"/>
    <mergeCell ref="P61:Q63"/>
    <mergeCell ref="P64:R64"/>
    <mergeCell ref="R61:S61"/>
    <mergeCell ref="R62:S63"/>
    <mergeCell ref="G61:I61"/>
    <mergeCell ref="J61:L61"/>
    <mergeCell ref="M63:O63"/>
    <mergeCell ref="M62:O62"/>
    <mergeCell ref="M61:O61"/>
  </mergeCells>
  <phoneticPr fontId="2"/>
  <conditionalFormatting sqref="F14:R38">
    <cfRule type="cellIs" dxfId="23" priority="1" operator="equal">
      <formula>"（特）後期"</formula>
    </cfRule>
    <cfRule type="cellIs" dxfId="22" priority="2" operator="equal">
      <formula>"後期"</formula>
    </cfRule>
    <cfRule type="cellIs" dxfId="21" priority="3" operator="equal">
      <formula>"国保"</formula>
    </cfRule>
    <cfRule type="cellIs" dxfId="20" priority="4" operator="equal">
      <formula>"社保"</formula>
    </cfRule>
  </conditionalFormatting>
  <dataValidations count="8">
    <dataValidation type="list" allowBlank="1" showInputMessage="1" showErrorMessage="1" sqref="T17 T38 T20 T23 T26 T29 T32 T35 T14" xr:uid="{75797A62-4A34-46E9-9BCA-CE5FEA72E8C6}">
      <formula1>"11,12,21,22,23,31,32,33,34"</formula1>
    </dataValidation>
    <dataValidation type="whole" operator="greaterThanOrEqual" allowBlank="1" showInputMessage="1" showErrorMessage="1" sqref="E57" xr:uid="{E96C4D22-D261-4CAE-BD5F-AB2FDD90437F}">
      <formula1>0</formula1>
    </dataValidation>
    <dataValidation type="list" allowBlank="1" showInputMessage="1" showErrorMessage="1" errorTitle="後期高齢者のため入力できません" sqref="F20:R20 F14:R14 F17:R17 F23:R23 F26:R26" xr:uid="{53E9E5EA-C46C-452E-BDAD-CCC096900637}">
      <formula1>"国保,社保,後期,（特）後期"</formula1>
    </dataValidation>
    <dataValidation type="list" allowBlank="1" showInputMessage="1" showErrorMessage="1" sqref="S17 S20 S23 S26 S29 S32 S35 S38" xr:uid="{DE62EC9E-5366-4F35-887A-EEDA26FC1CB4}">
      <formula1>"○"</formula1>
    </dataValidation>
    <dataValidation type="list" allowBlank="1" showInputMessage="1" showErrorMessage="1" sqref="F38:R38 F32:R32 F29:R29 F35:R35" xr:uid="{CDE6BC97-C15E-4A25-AD13-679D0AADAC09}">
      <formula1>"国保,（特）後期"</formula1>
    </dataValidation>
    <dataValidation imeMode="hiragana" allowBlank="1" showInputMessage="1" showErrorMessage="1" sqref="C14:D40" xr:uid="{02277459-C9D1-470C-9766-1AEE64D5819F}"/>
    <dataValidation imeMode="halfAlpha" allowBlank="1" showInputMessage="1" showErrorMessage="1" sqref="E14:E40" xr:uid="{F83DF789-FDF9-40F2-8BF7-A12B5D1D5A51}"/>
    <dataValidation type="whole" imeMode="halfAlpha" operator="greaterThanOrEqual" allowBlank="1" showInputMessage="1" showErrorMessage="1" sqref="E48:V56" xr:uid="{CB168A99-93D0-433A-9E22-7E096D982DAA}">
      <formula1>0</formula1>
    </dataValidation>
  </dataValidations>
  <pageMargins left="0.39370078740157483" right="0.39370078740157483" top="0.39370078740157483" bottom="0.39370078740157483" header="0.31496062992125984" footer="0.31496062992125984"/>
  <pageSetup paperSize="8" scale="69" fitToHeight="0" orientation="portrait" r:id="rId3"/>
  <rowBreaks count="1" manualBreakCount="1">
    <brk id="57" max="22" man="1"/>
  </rowBreaks>
  <colBreaks count="2" manualBreakCount="2">
    <brk id="24" max="1048575" man="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入力方法</vt:lpstr>
      <vt:lpstr>入力シート</vt:lpstr>
      <vt:lpstr>入力シート!Print_Area</vt:lpstr>
      <vt:lpstr>入力方法!Print_Area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安原　崇弘</dc:creator>
  <cp:lastModifiedBy>NK910（中之条町）</cp:lastModifiedBy>
  <cp:lastPrinted>2024-03-25T00:34:24Z</cp:lastPrinted>
  <dcterms:created xsi:type="dcterms:W3CDTF">2022-09-06T07:45:17Z</dcterms:created>
  <dcterms:modified xsi:type="dcterms:W3CDTF">2024-03-28T02:39:36Z</dcterms:modified>
</cp:coreProperties>
</file>